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ivotTables/pivotTable5.xml" ContentType="application/vnd.openxmlformats-officedocument.spreadsheetml.pivot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ADANIBKP\4_Shared Services\91_IT Development\Calculators\new VRC Calc\"/>
    </mc:Choice>
  </mc:AlternateContent>
  <xr:revisionPtr revIDLastSave="0" documentId="13_ncr:1_{C4938606-8E25-43B0-A843-F1DDE23655F3}" xr6:coauthVersionLast="47" xr6:coauthVersionMax="47" xr10:uidLastSave="{00000000-0000-0000-0000-000000000000}"/>
  <workbookProtection workbookAlgorithmName="SHA-512" workbookHashValue="AzNZnzWnpxnXeAJRXyPg+lw3OeD06EzsH15YcUm4bGI7M0fHIPa7KB4GqjWg9ojcKEkbqoD1zVBXv8V4iZhCLA==" workbookSaltValue="BFEsxalnxvYlREkjnnoQMg==" workbookSpinCount="100000" lockStructure="1"/>
  <bookViews>
    <workbookView showHorizontalScroll="0" showVerticalScroll="0" showSheetTabs="0" xWindow="-108" yWindow="-108" windowWidth="23256" windowHeight="12456" tabRatio="781" firstSheet="12" activeTab="12" xr2:uid="{00000000-000D-0000-FFFF-FFFF00000000}"/>
  </bookViews>
  <sheets>
    <sheet name="Tuna" sheetId="30" state="hidden" r:id="rId1"/>
    <sheet name="Goa" sheetId="31" state="hidden" r:id="rId2"/>
    <sheet name="Ennore" sheetId="32" state="hidden" r:id="rId3"/>
    <sheet name="Mundra" sheetId="6" state="hidden" r:id="rId4"/>
    <sheet name="Hazira" sheetId="7" state="hidden" r:id="rId5"/>
    <sheet name="Dahej" sheetId="8" state="hidden" r:id="rId6"/>
    <sheet name="Dhamra" sheetId="12" state="hidden" r:id="rId7"/>
    <sheet name="Kattupalli" sheetId="14" state="hidden" r:id="rId8"/>
    <sheet name="Krishnapattnam" sheetId="15" state="hidden" r:id="rId9"/>
    <sheet name="Dighi" sheetId="16" state="hidden" r:id="rId10"/>
    <sheet name="GPL" sheetId="17" state="hidden" r:id="rId11"/>
    <sheet name="Karaikal" sheetId="35" state="hidden" r:id="rId12"/>
    <sheet name="Vessel Dues Calculator" sheetId="5" r:id="rId13"/>
    <sheet name="Tariff Master" sheetId="29" state="hidden" r:id="rId14"/>
    <sheet name="AllPorts" sheetId="19" state="hidden" r:id="rId15"/>
  </sheets>
  <definedNames>
    <definedName name="BuiltIn_Print_Area">"$"</definedName>
    <definedName name="BuiltIn_Print_Area___0">"$"</definedName>
    <definedName name="Slicer_CURR1">#N/A</definedName>
    <definedName name="Slicer_PORT1">#N/A</definedName>
    <definedName name="Slicer_TYPE1">#N/A</definedName>
    <definedName name="Slicer_VESSEL_RUN1">#N/A</definedName>
    <definedName name="Slicer_VESSEL_TYPE1">#N/A</definedName>
  </definedNames>
  <calcPr calcId="191029"/>
  <pivotCaches>
    <pivotCache cacheId="4" r:id="rId16"/>
    <pivotCache cacheId="5" r:id="rId17"/>
  </pivotCaches>
  <extLst>
    <ext xmlns:x14="http://schemas.microsoft.com/office/spreadsheetml/2009/9/main" uri="{BBE1A952-AA13-448e-AADC-164F8A28A991}">
      <x14:slicerCaches>
        <x14:slicerCache r:id="rId18"/>
        <x14:slicerCache r:id="rId19"/>
        <x14:slicerCache r:id="rId20"/>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0" i="29" l="1"/>
  <c r="I105" i="29"/>
  <c r="I78" i="29"/>
  <c r="H110" i="29"/>
  <c r="H105" i="29"/>
  <c r="H78" i="29"/>
  <c r="J2" i="29"/>
  <c r="H55" i="29" s="1"/>
  <c r="H139" i="29"/>
  <c r="H45" i="29"/>
  <c r="H53" i="29"/>
  <c r="H137" i="29"/>
  <c r="I136" i="29"/>
  <c r="H52" i="29"/>
  <c r="I52" i="29" l="1"/>
  <c r="N201" i="19"/>
  <c r="M201" i="19"/>
  <c r="L201" i="19"/>
  <c r="K201" i="19"/>
  <c r="J201" i="19" s="1"/>
  <c r="N200" i="19"/>
  <c r="M200" i="19"/>
  <c r="L200" i="19"/>
  <c r="K200" i="19"/>
  <c r="N199" i="19"/>
  <c r="M199" i="19"/>
  <c r="L199" i="19"/>
  <c r="K199" i="19"/>
  <c r="J199" i="19" s="1"/>
  <c r="N198" i="19"/>
  <c r="M198" i="19"/>
  <c r="L198" i="19"/>
  <c r="K198" i="19"/>
  <c r="J198" i="19"/>
  <c r="N197" i="19"/>
  <c r="M197" i="19"/>
  <c r="L197" i="19"/>
  <c r="K197" i="19"/>
  <c r="J197" i="19" s="1"/>
  <c r="N196" i="19"/>
  <c r="M196" i="19"/>
  <c r="L196" i="19"/>
  <c r="K196" i="19"/>
  <c r="Q195" i="19"/>
  <c r="N195" i="19"/>
  <c r="M195" i="19"/>
  <c r="L195" i="19"/>
  <c r="K195" i="19"/>
  <c r="J195" i="19"/>
  <c r="N194" i="19"/>
  <c r="Q194" i="19" s="1"/>
  <c r="M194" i="19"/>
  <c r="L194" i="19"/>
  <c r="K194" i="19"/>
  <c r="N193" i="19"/>
  <c r="Q193" i="19" s="1"/>
  <c r="M193" i="19"/>
  <c r="L193" i="19"/>
  <c r="K193" i="19"/>
  <c r="J193" i="19" s="1"/>
  <c r="N192" i="19"/>
  <c r="O192" i="19" s="1"/>
  <c r="M192" i="19"/>
  <c r="L192" i="19"/>
  <c r="K192" i="19"/>
  <c r="N191" i="19"/>
  <c r="Q191" i="19" s="1"/>
  <c r="M191" i="19"/>
  <c r="J191" i="19" s="1"/>
  <c r="L191" i="19"/>
  <c r="K191" i="19"/>
  <c r="N190" i="19"/>
  <c r="M190" i="19"/>
  <c r="L190" i="19"/>
  <c r="K190" i="19"/>
  <c r="N189" i="19"/>
  <c r="Q189" i="19" s="1"/>
  <c r="M189" i="19"/>
  <c r="L189" i="19"/>
  <c r="K189" i="19"/>
  <c r="J189" i="19" s="1"/>
  <c r="N188" i="19"/>
  <c r="M188" i="19"/>
  <c r="J188" i="19" s="1"/>
  <c r="L188" i="19"/>
  <c r="K188" i="19"/>
  <c r="N187" i="19"/>
  <c r="M187" i="19"/>
  <c r="L187" i="19"/>
  <c r="K187" i="19"/>
  <c r="N186" i="19"/>
  <c r="Q186" i="19" s="1"/>
  <c r="M186" i="19"/>
  <c r="L186" i="19"/>
  <c r="K186" i="19"/>
  <c r="N185" i="19"/>
  <c r="Q185" i="19" s="1"/>
  <c r="M185" i="19"/>
  <c r="L185" i="19"/>
  <c r="K185" i="19"/>
  <c r="N184" i="19"/>
  <c r="M184" i="19"/>
  <c r="L184" i="19"/>
  <c r="K184" i="19"/>
  <c r="N183" i="19"/>
  <c r="M183" i="19"/>
  <c r="L183" i="19"/>
  <c r="K183" i="19"/>
  <c r="N182" i="19"/>
  <c r="Q182" i="19" s="1"/>
  <c r="M182" i="19"/>
  <c r="L182" i="19"/>
  <c r="J182" i="19" s="1"/>
  <c r="K182" i="19"/>
  <c r="N181" i="19"/>
  <c r="Q181" i="19" s="1"/>
  <c r="M181" i="19"/>
  <c r="L181" i="19"/>
  <c r="K181" i="19"/>
  <c r="J194" i="29"/>
  <c r="I194" i="29"/>
  <c r="H194" i="29"/>
  <c r="G194" i="29"/>
  <c r="J193" i="29"/>
  <c r="I193" i="29"/>
  <c r="H193" i="29"/>
  <c r="G193" i="29"/>
  <c r="J192" i="29"/>
  <c r="I192" i="29"/>
  <c r="H192" i="29"/>
  <c r="G192" i="29"/>
  <c r="I191" i="29"/>
  <c r="H191" i="29"/>
  <c r="G191" i="29"/>
  <c r="I190" i="29"/>
  <c r="H190" i="29"/>
  <c r="G190" i="29"/>
  <c r="G189" i="29"/>
  <c r="I188" i="29"/>
  <c r="H188" i="29"/>
  <c r="G188" i="29"/>
  <c r="J187" i="29"/>
  <c r="I187" i="29"/>
  <c r="H187" i="29"/>
  <c r="G187" i="29"/>
  <c r="I186" i="29"/>
  <c r="H186" i="29"/>
  <c r="G186" i="29"/>
  <c r="I185" i="29"/>
  <c r="H185" i="29"/>
  <c r="G185" i="29"/>
  <c r="G184" i="29"/>
  <c r="I183" i="29"/>
  <c r="H183" i="29"/>
  <c r="G183" i="29"/>
  <c r="G182" i="29"/>
  <c r="G181" i="29"/>
  <c r="J180" i="29"/>
  <c r="I180" i="29"/>
  <c r="H180" i="29"/>
  <c r="G180" i="29"/>
  <c r="J179" i="29"/>
  <c r="I179" i="29"/>
  <c r="H179" i="29"/>
  <c r="G179" i="29"/>
  <c r="J178" i="29"/>
  <c r="I178" i="29"/>
  <c r="H178" i="29"/>
  <c r="G178" i="29"/>
  <c r="J177" i="29"/>
  <c r="G177" i="29"/>
  <c r="J176" i="29"/>
  <c r="I176" i="29"/>
  <c r="H176" i="29"/>
  <c r="G176" i="29"/>
  <c r="J175" i="29"/>
  <c r="G175" i="29"/>
  <c r="J174" i="29"/>
  <c r="I174" i="29"/>
  <c r="H174" i="29"/>
  <c r="G174" i="29"/>
  <c r="G173" i="29"/>
  <c r="J172" i="29"/>
  <c r="I172" i="29"/>
  <c r="H172" i="29"/>
  <c r="G172" i="29"/>
  <c r="G171" i="29"/>
  <c r="J170" i="29"/>
  <c r="G170" i="29"/>
  <c r="J169" i="29"/>
  <c r="G169" i="29"/>
  <c r="J168" i="29"/>
  <c r="I168" i="29"/>
  <c r="H168" i="29"/>
  <c r="G168" i="29"/>
  <c r="I167" i="29"/>
  <c r="G167" i="29"/>
  <c r="J166" i="29"/>
  <c r="I166" i="29"/>
  <c r="H166" i="29"/>
  <c r="G166" i="29"/>
  <c r="G165" i="29"/>
  <c r="J164" i="29"/>
  <c r="G164" i="29"/>
  <c r="J163" i="29"/>
  <c r="G163" i="29"/>
  <c r="J181" i="19" l="1"/>
  <c r="J194" i="19"/>
  <c r="J192" i="19"/>
  <c r="J184" i="19"/>
  <c r="J187" i="19"/>
  <c r="J200" i="19"/>
  <c r="Q192" i="19"/>
  <c r="O186" i="19"/>
  <c r="J190" i="19"/>
  <c r="J185" i="19"/>
  <c r="Q187" i="19"/>
  <c r="J183" i="19"/>
  <c r="J196" i="19"/>
  <c r="Q183" i="19"/>
  <c r="J186" i="19"/>
  <c r="Q188" i="19"/>
  <c r="J162" i="29" l="1"/>
  <c r="I162" i="29"/>
  <c r="J161" i="29"/>
  <c r="I161" i="29"/>
  <c r="H161" i="29"/>
  <c r="J160" i="29"/>
  <c r="I160" i="29"/>
  <c r="H160" i="29"/>
  <c r="J159" i="29"/>
  <c r="J158" i="29"/>
  <c r="I158" i="29"/>
  <c r="H158" i="29"/>
  <c r="J157" i="29"/>
  <c r="I157" i="29"/>
  <c r="J156" i="29"/>
  <c r="I156" i="29"/>
  <c r="H156" i="29"/>
  <c r="J155" i="29"/>
  <c r="I155" i="29"/>
  <c r="H155" i="29"/>
  <c r="J154" i="29"/>
  <c r="J153" i="29"/>
  <c r="I153" i="29"/>
  <c r="H153" i="29"/>
  <c r="J150" i="29"/>
  <c r="I150" i="29"/>
  <c r="H150" i="29"/>
  <c r="T2" i="19" l="1"/>
  <c r="T10" i="19" s="1"/>
  <c r="S2" i="19"/>
  <c r="S10" i="19" s="1"/>
  <c r="G162" i="29"/>
  <c r="G161" i="29"/>
  <c r="G160" i="29"/>
  <c r="G159" i="29"/>
  <c r="G158" i="29"/>
  <c r="G157" i="29"/>
  <c r="G156" i="29"/>
  <c r="G155" i="29"/>
  <c r="G154" i="29"/>
  <c r="G153" i="29"/>
  <c r="J152" i="29"/>
  <c r="I152" i="29"/>
  <c r="G152" i="29"/>
  <c r="H151" i="29"/>
  <c r="I151" i="29"/>
  <c r="J151" i="29"/>
  <c r="J149" i="29"/>
  <c r="J148" i="29"/>
  <c r="I148" i="29"/>
  <c r="H148" i="29"/>
  <c r="G151" i="29"/>
  <c r="G150" i="29"/>
  <c r="G149" i="29"/>
  <c r="C14" i="6" l="1"/>
  <c r="G108" i="29"/>
  <c r="H108" i="29"/>
  <c r="I108" i="29"/>
  <c r="J108" i="29"/>
  <c r="G109" i="29"/>
  <c r="J109" i="29"/>
  <c r="G110" i="29"/>
  <c r="J110" i="29"/>
  <c r="G111" i="29"/>
  <c r="H111" i="29"/>
  <c r="I111" i="29"/>
  <c r="J111" i="29"/>
  <c r="G112" i="29"/>
  <c r="I112" i="29"/>
  <c r="J112" i="29"/>
  <c r="G147" i="29"/>
  <c r="G146" i="29"/>
  <c r="J145" i="29"/>
  <c r="I145" i="29"/>
  <c r="H145" i="29"/>
  <c r="G145" i="29"/>
  <c r="J144" i="29"/>
  <c r="I144" i="29"/>
  <c r="H144" i="29"/>
  <c r="G144" i="29"/>
  <c r="J143" i="29"/>
  <c r="I143" i="29"/>
  <c r="H143" i="29"/>
  <c r="G143" i="29"/>
  <c r="J142" i="29"/>
  <c r="G142" i="29"/>
  <c r="J141" i="29"/>
  <c r="I141" i="29"/>
  <c r="H141" i="29"/>
  <c r="G141" i="29"/>
  <c r="J140" i="29"/>
  <c r="G140" i="29"/>
  <c r="G139" i="29"/>
  <c r="I138" i="29"/>
  <c r="H138" i="29"/>
  <c r="G138" i="29"/>
  <c r="I137" i="29"/>
  <c r="G137" i="29"/>
  <c r="H136" i="29"/>
  <c r="G136" i="29"/>
  <c r="I135" i="29"/>
  <c r="H135" i="29"/>
  <c r="G135" i="29"/>
  <c r="J101" i="29"/>
  <c r="J99" i="29"/>
  <c r="J97" i="29"/>
  <c r="J96" i="29"/>
  <c r="I100" i="29"/>
  <c r="I99" i="29"/>
  <c r="H101" i="29"/>
  <c r="H99" i="29"/>
  <c r="I134" i="29"/>
  <c r="G134" i="29"/>
  <c r="I133" i="29"/>
  <c r="H133" i="29"/>
  <c r="G133" i="29"/>
  <c r="I132" i="29"/>
  <c r="H132" i="29"/>
  <c r="G132" i="29"/>
  <c r="G131" i="29"/>
  <c r="J130" i="29"/>
  <c r="I130" i="29"/>
  <c r="H130" i="29"/>
  <c r="G130" i="29"/>
  <c r="I129" i="29"/>
  <c r="G129" i="29"/>
  <c r="I128" i="29"/>
  <c r="H128" i="29"/>
  <c r="G128" i="29"/>
  <c r="I127" i="29"/>
  <c r="H127" i="29"/>
  <c r="G127" i="29"/>
  <c r="G126" i="29"/>
  <c r="J125" i="29"/>
  <c r="I125" i="29"/>
  <c r="H125" i="29"/>
  <c r="G125" i="29"/>
  <c r="G124" i="29"/>
  <c r="I123" i="29"/>
  <c r="H123" i="29"/>
  <c r="G123" i="29"/>
  <c r="I122" i="29"/>
  <c r="H122" i="29"/>
  <c r="G122" i="29"/>
  <c r="G121" i="29"/>
  <c r="J120" i="29"/>
  <c r="I120" i="29"/>
  <c r="H120" i="29"/>
  <c r="G120" i="29"/>
  <c r="N180" i="19"/>
  <c r="M180" i="19"/>
  <c r="L180" i="19"/>
  <c r="K180" i="19"/>
  <c r="N179" i="19"/>
  <c r="M179" i="19"/>
  <c r="L179" i="19"/>
  <c r="K179" i="19"/>
  <c r="N178" i="19"/>
  <c r="M178" i="19"/>
  <c r="L178" i="19"/>
  <c r="K178" i="19"/>
  <c r="N177" i="19"/>
  <c r="M177" i="19"/>
  <c r="L177" i="19"/>
  <c r="K177" i="19"/>
  <c r="N176" i="19"/>
  <c r="Q176" i="19" s="1"/>
  <c r="M176" i="19"/>
  <c r="L176" i="19"/>
  <c r="K176" i="19"/>
  <c r="N175" i="19"/>
  <c r="Q175" i="19" s="1"/>
  <c r="M175" i="19"/>
  <c r="L175" i="19"/>
  <c r="K175" i="19"/>
  <c r="N174" i="19"/>
  <c r="M174" i="19"/>
  <c r="L174" i="19"/>
  <c r="K174" i="19"/>
  <c r="N173" i="19"/>
  <c r="Q173" i="19" s="1"/>
  <c r="M173" i="19"/>
  <c r="L173" i="19"/>
  <c r="K173" i="19"/>
  <c r="N172" i="19"/>
  <c r="M172" i="19"/>
  <c r="L172" i="19"/>
  <c r="K172" i="19"/>
  <c r="N171" i="19"/>
  <c r="M171" i="19"/>
  <c r="L171" i="19"/>
  <c r="K171" i="19"/>
  <c r="N170" i="19"/>
  <c r="M170" i="19"/>
  <c r="L170" i="19"/>
  <c r="K170" i="19"/>
  <c r="N169" i="19"/>
  <c r="M169" i="19"/>
  <c r="L169" i="19"/>
  <c r="K169" i="19"/>
  <c r="N168" i="19"/>
  <c r="M168" i="19"/>
  <c r="L168" i="19"/>
  <c r="K168" i="19"/>
  <c r="N167" i="19"/>
  <c r="M167" i="19"/>
  <c r="L167" i="19"/>
  <c r="K167" i="19"/>
  <c r="N166" i="19"/>
  <c r="M166" i="19"/>
  <c r="L166" i="19"/>
  <c r="K166" i="19"/>
  <c r="N165" i="19"/>
  <c r="M165" i="19"/>
  <c r="L165" i="19"/>
  <c r="K165" i="19"/>
  <c r="N164" i="19"/>
  <c r="M164" i="19"/>
  <c r="L164" i="19"/>
  <c r="K164" i="19"/>
  <c r="N163" i="19"/>
  <c r="M163" i="19"/>
  <c r="L163" i="19"/>
  <c r="K163" i="19"/>
  <c r="N162" i="19"/>
  <c r="M162" i="19"/>
  <c r="L162" i="19"/>
  <c r="K162" i="19"/>
  <c r="N161" i="19"/>
  <c r="M161" i="19"/>
  <c r="L161" i="19"/>
  <c r="K161" i="19"/>
  <c r="N160" i="19"/>
  <c r="M160" i="19"/>
  <c r="L160" i="19"/>
  <c r="K160" i="19"/>
  <c r="N159" i="19"/>
  <c r="M159" i="19"/>
  <c r="L159" i="19"/>
  <c r="K159" i="19"/>
  <c r="N158" i="19"/>
  <c r="Q158" i="19" s="1"/>
  <c r="M158" i="19"/>
  <c r="L158" i="19"/>
  <c r="K158" i="19"/>
  <c r="N157" i="19"/>
  <c r="M157" i="19"/>
  <c r="L157" i="19"/>
  <c r="K157" i="19"/>
  <c r="N156" i="19"/>
  <c r="M156" i="19"/>
  <c r="L156" i="19"/>
  <c r="K156" i="19"/>
  <c r="N155" i="19"/>
  <c r="M155" i="19"/>
  <c r="L155" i="19"/>
  <c r="K155" i="19"/>
  <c r="N154" i="19"/>
  <c r="M154" i="19"/>
  <c r="L154" i="19"/>
  <c r="K154" i="19"/>
  <c r="N153" i="19"/>
  <c r="Q153" i="19" s="1"/>
  <c r="M153" i="19"/>
  <c r="L153" i="19"/>
  <c r="K153" i="19"/>
  <c r="N152" i="19"/>
  <c r="Q152" i="19" s="1"/>
  <c r="M152" i="19"/>
  <c r="L152" i="19"/>
  <c r="K152" i="19"/>
  <c r="N151" i="19"/>
  <c r="M151" i="19"/>
  <c r="L151" i="19"/>
  <c r="K151" i="19"/>
  <c r="N150" i="19"/>
  <c r="Q150" i="19" s="1"/>
  <c r="M150" i="19"/>
  <c r="L150" i="19"/>
  <c r="K150" i="19"/>
  <c r="N149" i="19"/>
  <c r="M149" i="19"/>
  <c r="L149" i="19"/>
  <c r="K149" i="19"/>
  <c r="N148" i="19"/>
  <c r="M148" i="19"/>
  <c r="L148" i="19"/>
  <c r="K148" i="19"/>
  <c r="N147" i="19"/>
  <c r="M147" i="19"/>
  <c r="L147" i="19"/>
  <c r="K147" i="19"/>
  <c r="N146" i="19"/>
  <c r="M146" i="19"/>
  <c r="L146" i="19"/>
  <c r="K146" i="19"/>
  <c r="N145" i="19"/>
  <c r="M145" i="19"/>
  <c r="L145" i="19"/>
  <c r="K145" i="19"/>
  <c r="N144" i="19"/>
  <c r="M144" i="19"/>
  <c r="L144" i="19"/>
  <c r="K144" i="19"/>
  <c r="N143" i="19"/>
  <c r="M143" i="19"/>
  <c r="L143" i="19"/>
  <c r="K143" i="19"/>
  <c r="N142" i="19"/>
  <c r="Q142" i="19" s="1"/>
  <c r="M142" i="19"/>
  <c r="L142" i="19"/>
  <c r="K142" i="19"/>
  <c r="J176" i="19" l="1"/>
  <c r="J146" i="19"/>
  <c r="J172" i="19"/>
  <c r="J178" i="19"/>
  <c r="J170" i="19"/>
  <c r="J175" i="19"/>
  <c r="J159" i="19"/>
  <c r="J169" i="19"/>
  <c r="J153" i="19"/>
  <c r="J142" i="19"/>
  <c r="J167" i="19"/>
  <c r="J164" i="19"/>
  <c r="J161" i="19"/>
  <c r="J151" i="19"/>
  <c r="J148" i="19"/>
  <c r="J143" i="19"/>
  <c r="J168" i="19"/>
  <c r="J173" i="19"/>
  <c r="J150" i="19"/>
  <c r="J155" i="19"/>
  <c r="J166" i="19"/>
  <c r="J174" i="19"/>
  <c r="J145" i="19"/>
  <c r="J156" i="19"/>
  <c r="J180" i="19"/>
  <c r="J162" i="19"/>
  <c r="J154" i="19"/>
  <c r="Q159" i="19"/>
  <c r="J149" i="19"/>
  <c r="J165" i="19"/>
  <c r="J144" i="19"/>
  <c r="J152" i="19"/>
  <c r="Q144" i="19"/>
  <c r="J160" i="19"/>
  <c r="J158" i="19"/>
  <c r="J179" i="19"/>
  <c r="Q179" i="19"/>
  <c r="J177" i="19"/>
  <c r="Q177" i="19"/>
  <c r="J147" i="19"/>
  <c r="Q147" i="19"/>
  <c r="J157" i="19"/>
  <c r="J163" i="19"/>
  <c r="J171" i="19"/>
  <c r="J38" i="29" l="1"/>
  <c r="I38" i="29"/>
  <c r="H38" i="29"/>
  <c r="J37" i="29"/>
  <c r="I37" i="29"/>
  <c r="H37" i="29"/>
  <c r="J36" i="29"/>
  <c r="I36" i="29"/>
  <c r="H36" i="29"/>
  <c r="J34" i="29"/>
  <c r="I34" i="29"/>
  <c r="J35" i="29"/>
  <c r="H34" i="29"/>
  <c r="J33" i="29"/>
  <c r="J93" i="29"/>
  <c r="I93" i="29"/>
  <c r="H93" i="29"/>
  <c r="J88" i="29"/>
  <c r="I88" i="29"/>
  <c r="H88" i="29"/>
  <c r="J75" i="29"/>
  <c r="I75" i="29"/>
  <c r="H75" i="29"/>
  <c r="J70" i="29"/>
  <c r="I70" i="29"/>
  <c r="H70" i="29"/>
  <c r="T9" i="19"/>
  <c r="S8" i="19"/>
  <c r="S5" i="19" l="1"/>
  <c r="S3" i="19"/>
  <c r="S4" i="19"/>
  <c r="S6" i="19"/>
  <c r="S7" i="19"/>
  <c r="S9" i="19"/>
  <c r="T3" i="19"/>
  <c r="T4" i="19"/>
  <c r="T5" i="19"/>
  <c r="T6" i="19"/>
  <c r="T7" i="19"/>
  <c r="T8" i="19"/>
  <c r="I74" i="29" l="1"/>
  <c r="I73" i="29"/>
  <c r="I71" i="29"/>
  <c r="I69" i="29"/>
  <c r="I68" i="29"/>
  <c r="I66" i="29"/>
  <c r="H92" i="29"/>
  <c r="H91" i="29"/>
  <c r="H89" i="29"/>
  <c r="H87" i="29"/>
  <c r="H86" i="29"/>
  <c r="H84" i="29"/>
  <c r="H74" i="29"/>
  <c r="H73" i="29"/>
  <c r="H71" i="29"/>
  <c r="H69" i="29"/>
  <c r="H68" i="29"/>
  <c r="H66" i="29"/>
  <c r="I54" i="29"/>
  <c r="I53" i="29"/>
  <c r="I51" i="29"/>
  <c r="I49" i="29"/>
  <c r="I48" i="29"/>
  <c r="I47" i="29"/>
  <c r="H54" i="29"/>
  <c r="H51" i="29"/>
  <c r="H49" i="29"/>
  <c r="H48" i="29"/>
  <c r="H47" i="29"/>
  <c r="H46" i="29"/>
  <c r="H41" i="29"/>
  <c r="I46" i="29"/>
  <c r="I44" i="29"/>
  <c r="I43" i="29"/>
  <c r="I41" i="29"/>
  <c r="H44" i="29"/>
  <c r="H43" i="29"/>
  <c r="H42" i="29"/>
  <c r="J6" i="29"/>
  <c r="N141" i="19"/>
  <c r="M141" i="19"/>
  <c r="L141" i="19"/>
  <c r="K141" i="19"/>
  <c r="N140" i="19"/>
  <c r="M140" i="19"/>
  <c r="L140" i="19"/>
  <c r="K140" i="19"/>
  <c r="N139" i="19"/>
  <c r="M139" i="19"/>
  <c r="L139" i="19"/>
  <c r="K139" i="19"/>
  <c r="N138" i="19"/>
  <c r="M138" i="19"/>
  <c r="L138" i="19"/>
  <c r="K138" i="19"/>
  <c r="N137" i="19"/>
  <c r="M137" i="19"/>
  <c r="L137" i="19"/>
  <c r="K137" i="19"/>
  <c r="N136" i="19"/>
  <c r="M136" i="19"/>
  <c r="L136" i="19"/>
  <c r="K136" i="19"/>
  <c r="N135" i="19"/>
  <c r="M135" i="19"/>
  <c r="L135" i="19"/>
  <c r="K135" i="19"/>
  <c r="N134" i="19"/>
  <c r="M134" i="19"/>
  <c r="L134" i="19"/>
  <c r="K134" i="19"/>
  <c r="N133" i="19"/>
  <c r="M133" i="19"/>
  <c r="L133" i="19"/>
  <c r="K133" i="19"/>
  <c r="N132" i="19"/>
  <c r="M132" i="19"/>
  <c r="L132" i="19"/>
  <c r="K132" i="19"/>
  <c r="N131" i="19"/>
  <c r="M131" i="19"/>
  <c r="L131" i="19"/>
  <c r="K131" i="19"/>
  <c r="N130" i="19"/>
  <c r="M130" i="19"/>
  <c r="L130" i="19"/>
  <c r="K130" i="19"/>
  <c r="N129" i="19"/>
  <c r="M129" i="19"/>
  <c r="L129" i="19"/>
  <c r="K129" i="19"/>
  <c r="N128" i="19"/>
  <c r="M128" i="19"/>
  <c r="L128" i="19"/>
  <c r="K128" i="19"/>
  <c r="N127" i="19"/>
  <c r="M127" i="19"/>
  <c r="L127" i="19"/>
  <c r="K127" i="19"/>
  <c r="N126" i="19"/>
  <c r="M126" i="19"/>
  <c r="L126" i="19"/>
  <c r="K126" i="19"/>
  <c r="N125" i="19"/>
  <c r="M125" i="19"/>
  <c r="L125" i="19"/>
  <c r="K125" i="19"/>
  <c r="N124" i="19"/>
  <c r="M124" i="19"/>
  <c r="L124" i="19"/>
  <c r="K124" i="19"/>
  <c r="N123" i="19"/>
  <c r="M123" i="19"/>
  <c r="L123" i="19"/>
  <c r="K123" i="19"/>
  <c r="N122" i="19"/>
  <c r="M122" i="19"/>
  <c r="L122" i="19"/>
  <c r="K122" i="19"/>
  <c r="N121" i="19"/>
  <c r="M121" i="19"/>
  <c r="L121" i="19"/>
  <c r="K121" i="19"/>
  <c r="N120" i="19"/>
  <c r="M120" i="19"/>
  <c r="L120" i="19"/>
  <c r="K120" i="19"/>
  <c r="N119" i="19"/>
  <c r="M119" i="19"/>
  <c r="L119" i="19"/>
  <c r="K119" i="19"/>
  <c r="N118" i="19"/>
  <c r="M118" i="19"/>
  <c r="L118" i="19"/>
  <c r="K118" i="19"/>
  <c r="N117" i="19"/>
  <c r="M117" i="19"/>
  <c r="L117" i="19"/>
  <c r="K117" i="19"/>
  <c r="N116" i="19"/>
  <c r="M116" i="19"/>
  <c r="L116" i="19"/>
  <c r="K116" i="19"/>
  <c r="N115" i="19"/>
  <c r="M115" i="19"/>
  <c r="L115" i="19"/>
  <c r="K115" i="19"/>
  <c r="N114" i="19"/>
  <c r="M114" i="19"/>
  <c r="L114" i="19"/>
  <c r="K114" i="19"/>
  <c r="N113" i="19"/>
  <c r="M113" i="19"/>
  <c r="L113" i="19"/>
  <c r="K113" i="19"/>
  <c r="N112" i="19"/>
  <c r="M112" i="19"/>
  <c r="L112" i="19"/>
  <c r="K112" i="19"/>
  <c r="N111" i="19"/>
  <c r="M111" i="19"/>
  <c r="L111" i="19"/>
  <c r="K111" i="19"/>
  <c r="N110" i="19"/>
  <c r="M110" i="19"/>
  <c r="L110" i="19"/>
  <c r="K110" i="19"/>
  <c r="N109" i="19"/>
  <c r="M109" i="19"/>
  <c r="L109" i="19"/>
  <c r="K109" i="19"/>
  <c r="J119" i="29"/>
  <c r="I119" i="29"/>
  <c r="H119" i="29"/>
  <c r="G119" i="29"/>
  <c r="J118" i="29"/>
  <c r="I118" i="29"/>
  <c r="H118" i="29"/>
  <c r="G118" i="29"/>
  <c r="J117" i="29"/>
  <c r="I117" i="29"/>
  <c r="H117" i="29"/>
  <c r="G117" i="29"/>
  <c r="J116" i="29"/>
  <c r="I116" i="29"/>
  <c r="H116" i="29"/>
  <c r="G116" i="29"/>
  <c r="J115" i="29"/>
  <c r="I115" i="29"/>
  <c r="J83" i="29"/>
  <c r="I83" i="29"/>
  <c r="H115" i="29"/>
  <c r="H83" i="29"/>
  <c r="G115" i="29"/>
  <c r="J82" i="29"/>
  <c r="J114" i="29"/>
  <c r="I114" i="29"/>
  <c r="I82" i="29"/>
  <c r="H114" i="29"/>
  <c r="H82" i="29"/>
  <c r="G114" i="29"/>
  <c r="J113" i="29"/>
  <c r="I113" i="29"/>
  <c r="H113" i="29"/>
  <c r="G113" i="29"/>
  <c r="J81" i="29"/>
  <c r="I81" i="29"/>
  <c r="H81" i="29"/>
  <c r="J107" i="29"/>
  <c r="I107" i="29"/>
  <c r="J80" i="29"/>
  <c r="I80" i="29"/>
  <c r="J106" i="29"/>
  <c r="I106" i="29"/>
  <c r="H106" i="29"/>
  <c r="I79" i="29"/>
  <c r="H79" i="29"/>
  <c r="H104" i="29"/>
  <c r="J103" i="29"/>
  <c r="I103" i="29"/>
  <c r="H103" i="29"/>
  <c r="G107" i="29"/>
  <c r="G106" i="29"/>
  <c r="J105" i="29"/>
  <c r="G105" i="29"/>
  <c r="J104" i="29"/>
  <c r="G104" i="29"/>
  <c r="G103" i="29"/>
  <c r="J79" i="29"/>
  <c r="J77" i="29"/>
  <c r="J78" i="29"/>
  <c r="C22" i="16"/>
  <c r="C21" i="16"/>
  <c r="C20" i="16"/>
  <c r="J22" i="16"/>
  <c r="J21" i="16"/>
  <c r="J20" i="16"/>
  <c r="J76" i="29"/>
  <c r="I76" i="29"/>
  <c r="H76" i="29"/>
  <c r="J26" i="29"/>
  <c r="J102" i="29"/>
  <c r="G102" i="29"/>
  <c r="I101" i="29"/>
  <c r="G101" i="29"/>
  <c r="G100" i="29"/>
  <c r="G99" i="29"/>
  <c r="G98" i="29"/>
  <c r="G97" i="29"/>
  <c r="G148" i="29"/>
  <c r="G96" i="29"/>
  <c r="X3" i="19"/>
  <c r="X2" i="19"/>
  <c r="X1" i="19"/>
  <c r="AE9" i="5"/>
  <c r="J95" i="29"/>
  <c r="I95" i="29"/>
  <c r="H95" i="29"/>
  <c r="G95" i="29"/>
  <c r="J94" i="29"/>
  <c r="I94" i="29"/>
  <c r="H94" i="29"/>
  <c r="G94" i="29"/>
  <c r="I181" i="29" l="1"/>
  <c r="H181" i="29"/>
  <c r="I163" i="29"/>
  <c r="H167" i="29"/>
  <c r="H171" i="29"/>
  <c r="I175" i="29"/>
  <c r="H189" i="29"/>
  <c r="H175" i="29"/>
  <c r="H163" i="29"/>
  <c r="I171" i="29"/>
  <c r="H184" i="29"/>
  <c r="I170" i="29"/>
  <c r="I165" i="29"/>
  <c r="I182" i="29"/>
  <c r="H182" i="29"/>
  <c r="I169" i="29"/>
  <c r="H169" i="29"/>
  <c r="I177" i="29"/>
  <c r="I164" i="29"/>
  <c r="H177" i="29"/>
  <c r="H164" i="29"/>
  <c r="H170" i="29"/>
  <c r="H165" i="29"/>
  <c r="H157" i="29"/>
  <c r="I149" i="29"/>
  <c r="H149" i="29"/>
  <c r="I154" i="29"/>
  <c r="I159" i="29"/>
  <c r="H159" i="29"/>
  <c r="H162" i="29"/>
  <c r="H154" i="29"/>
  <c r="O195" i="19"/>
  <c r="O187" i="19"/>
  <c r="O194" i="19"/>
  <c r="O199" i="19"/>
  <c r="O183" i="19"/>
  <c r="O182" i="19"/>
  <c r="O190" i="19"/>
  <c r="O201" i="19"/>
  <c r="O188" i="19"/>
  <c r="O198" i="19"/>
  <c r="O191" i="19"/>
  <c r="O189" i="19"/>
  <c r="O185" i="19"/>
  <c r="O193" i="19"/>
  <c r="O196" i="19"/>
  <c r="O184" i="19"/>
  <c r="O200" i="19"/>
  <c r="O181" i="19"/>
  <c r="O197" i="19"/>
  <c r="V201" i="19"/>
  <c r="V189" i="19"/>
  <c r="V192" i="19"/>
  <c r="V182" i="19"/>
  <c r="V185" i="19"/>
  <c r="V200" i="19"/>
  <c r="V197" i="19"/>
  <c r="V188" i="19"/>
  <c r="V191" i="19"/>
  <c r="V194" i="19"/>
  <c r="V181" i="19"/>
  <c r="V184" i="19"/>
  <c r="V199" i="19"/>
  <c r="V196" i="19"/>
  <c r="V187" i="19"/>
  <c r="V190" i="19"/>
  <c r="V193" i="19"/>
  <c r="V183" i="19"/>
  <c r="V198" i="19"/>
  <c r="V195" i="19"/>
  <c r="V186" i="19"/>
  <c r="Q200" i="19"/>
  <c r="Q199" i="19"/>
  <c r="Q201" i="19"/>
  <c r="Q198" i="19"/>
  <c r="Q190" i="19"/>
  <c r="Q196" i="19"/>
  <c r="Q197" i="19"/>
  <c r="Q184" i="19"/>
  <c r="Q178" i="19"/>
  <c r="Q148" i="19"/>
  <c r="Q154" i="19"/>
  <c r="Q160" i="19"/>
  <c r="Q156" i="19"/>
  <c r="Q180" i="19"/>
  <c r="Q162" i="19"/>
  <c r="Q146" i="19"/>
  <c r="Q174" i="19"/>
  <c r="H152" i="29"/>
  <c r="Q172" i="19"/>
  <c r="Q161" i="19"/>
  <c r="Q143" i="19"/>
  <c r="Q169" i="19"/>
  <c r="Q170" i="19"/>
  <c r="Q149" i="19"/>
  <c r="Q155" i="19"/>
  <c r="Q171" i="19"/>
  <c r="Q151" i="19"/>
  <c r="Q163" i="19"/>
  <c r="Q164" i="19"/>
  <c r="Q145" i="19"/>
  <c r="Q168" i="19"/>
  <c r="Q166" i="19"/>
  <c r="Q157" i="19"/>
  <c r="Q167" i="19"/>
  <c r="Q165" i="19"/>
  <c r="V135" i="19"/>
  <c r="V148" i="19"/>
  <c r="V149" i="19"/>
  <c r="V158" i="19"/>
  <c r="V177" i="19"/>
  <c r="V161" i="19"/>
  <c r="V145" i="19"/>
  <c r="V175" i="19"/>
  <c r="V168" i="19"/>
  <c r="V174" i="19"/>
  <c r="V170" i="19"/>
  <c r="V173" i="19"/>
  <c r="V157" i="19"/>
  <c r="V160" i="19"/>
  <c r="V144" i="19"/>
  <c r="V179" i="19"/>
  <c r="V163" i="19"/>
  <c r="V147" i="19"/>
  <c r="V166" i="19"/>
  <c r="V150" i="19"/>
  <c r="V169" i="19"/>
  <c r="V159" i="19"/>
  <c r="V143" i="19"/>
  <c r="V178" i="19"/>
  <c r="V162" i="19"/>
  <c r="V146" i="19"/>
  <c r="V165" i="19"/>
  <c r="V171" i="19"/>
  <c r="V180" i="19"/>
  <c r="V164" i="19"/>
  <c r="V167" i="19"/>
  <c r="V151" i="19"/>
  <c r="V154" i="19"/>
  <c r="V176" i="19"/>
  <c r="V153" i="19"/>
  <c r="V172" i="19"/>
  <c r="V156" i="19"/>
  <c r="V152" i="19"/>
  <c r="V155" i="19"/>
  <c r="V142" i="19"/>
  <c r="H112" i="29"/>
  <c r="H109" i="29"/>
  <c r="I109" i="29"/>
  <c r="I147" i="29"/>
  <c r="H147" i="29"/>
  <c r="I146" i="29"/>
  <c r="I142" i="29"/>
  <c r="I98" i="29"/>
  <c r="H146" i="29"/>
  <c r="H142" i="29"/>
  <c r="I97" i="29"/>
  <c r="I96" i="29"/>
  <c r="I126" i="29"/>
  <c r="H131" i="29"/>
  <c r="H126" i="29"/>
  <c r="H121" i="29"/>
  <c r="H100" i="29"/>
  <c r="H98" i="29"/>
  <c r="H97" i="29"/>
  <c r="I140" i="29"/>
  <c r="H96" i="29"/>
  <c r="H140" i="29"/>
  <c r="H134" i="29"/>
  <c r="H129" i="29"/>
  <c r="I139" i="29"/>
  <c r="I131" i="29"/>
  <c r="I121" i="29"/>
  <c r="O145" i="19"/>
  <c r="O153" i="19"/>
  <c r="O161" i="19"/>
  <c r="O151" i="19"/>
  <c r="O142" i="19"/>
  <c r="O175" i="19"/>
  <c r="O172" i="19"/>
  <c r="O148" i="19"/>
  <c r="O168" i="19"/>
  <c r="O167" i="19"/>
  <c r="O176" i="19"/>
  <c r="O178" i="19"/>
  <c r="O163" i="19"/>
  <c r="O149" i="19"/>
  <c r="O143" i="19"/>
  <c r="O152" i="19"/>
  <c r="O165" i="19"/>
  <c r="O146" i="19"/>
  <c r="O150" i="19"/>
  <c r="O179" i="19"/>
  <c r="O157" i="19"/>
  <c r="O164" i="19"/>
  <c r="O155" i="19"/>
  <c r="O173" i="19"/>
  <c r="O177" i="19"/>
  <c r="O166" i="19"/>
  <c r="O160" i="19"/>
  <c r="O180" i="19"/>
  <c r="O156" i="19"/>
  <c r="O171" i="19"/>
  <c r="O158" i="19"/>
  <c r="O154" i="19"/>
  <c r="O169" i="19"/>
  <c r="O144" i="19"/>
  <c r="O170" i="19"/>
  <c r="O174" i="19"/>
  <c r="O159" i="19"/>
  <c r="O162" i="19"/>
  <c r="O147" i="19"/>
  <c r="O138" i="19"/>
  <c r="O124" i="19"/>
  <c r="I102" i="29"/>
  <c r="H40" i="29"/>
  <c r="I35" i="29"/>
  <c r="H33" i="29"/>
  <c r="H102" i="29"/>
  <c r="H35" i="29"/>
  <c r="I40" i="29"/>
  <c r="I39" i="29"/>
  <c r="I33" i="29"/>
  <c r="H39" i="29"/>
  <c r="O109" i="19"/>
  <c r="O123" i="19"/>
  <c r="H25" i="29"/>
  <c r="O113" i="19"/>
  <c r="O125" i="19"/>
  <c r="O129" i="19"/>
  <c r="O141" i="19"/>
  <c r="O122" i="19"/>
  <c r="O114" i="19"/>
  <c r="O130" i="19"/>
  <c r="O135" i="19"/>
  <c r="O131" i="19"/>
  <c r="Q119" i="19"/>
  <c r="O119" i="19"/>
  <c r="Q134" i="19"/>
  <c r="O134" i="19"/>
  <c r="Q111" i="19"/>
  <c r="O111" i="19"/>
  <c r="Q110" i="19"/>
  <c r="O110" i="19"/>
  <c r="Q112" i="19"/>
  <c r="O112" i="19"/>
  <c r="Q116" i="19"/>
  <c r="O116" i="19"/>
  <c r="Q120" i="19"/>
  <c r="O120" i="19"/>
  <c r="Q128" i="19"/>
  <c r="O128" i="19"/>
  <c r="Q132" i="19"/>
  <c r="O132" i="19"/>
  <c r="Q136" i="19"/>
  <c r="O136" i="19"/>
  <c r="Q140" i="19"/>
  <c r="O140" i="19"/>
  <c r="Q127" i="19"/>
  <c r="O127" i="19"/>
  <c r="Q118" i="19"/>
  <c r="O118" i="19"/>
  <c r="Q139" i="19"/>
  <c r="O139" i="19"/>
  <c r="Q117" i="19"/>
  <c r="O117" i="19"/>
  <c r="Q121" i="19"/>
  <c r="O121" i="19"/>
  <c r="Q133" i="19"/>
  <c r="O133" i="19"/>
  <c r="Q137" i="19"/>
  <c r="O137" i="19"/>
  <c r="Q126" i="19"/>
  <c r="O126" i="19"/>
  <c r="Q115" i="19"/>
  <c r="O115" i="19"/>
  <c r="V139" i="19"/>
  <c r="V113" i="19"/>
  <c r="V110" i="19"/>
  <c r="V132" i="19"/>
  <c r="V114" i="19"/>
  <c r="V120" i="19"/>
  <c r="V117" i="19"/>
  <c r="V124" i="19"/>
  <c r="V125" i="19"/>
  <c r="V115" i="19"/>
  <c r="V112" i="19"/>
  <c r="V133" i="19"/>
  <c r="V109" i="19"/>
  <c r="V119" i="19"/>
  <c r="V130" i="19"/>
  <c r="V141" i="19"/>
  <c r="V116" i="19"/>
  <c r="V123" i="19"/>
  <c r="V129" i="19"/>
  <c r="V126" i="19"/>
  <c r="V136" i="19"/>
  <c r="V111" i="19"/>
  <c r="V127" i="19"/>
  <c r="V140" i="19"/>
  <c r="V121" i="19"/>
  <c r="V137" i="19"/>
  <c r="V118" i="19"/>
  <c r="V134" i="19"/>
  <c r="V131" i="19"/>
  <c r="V128" i="19"/>
  <c r="V122" i="19"/>
  <c r="V138" i="19"/>
  <c r="H72" i="29"/>
  <c r="J115" i="19"/>
  <c r="J131" i="19"/>
  <c r="J125" i="19"/>
  <c r="J136" i="19"/>
  <c r="I45" i="29"/>
  <c r="H85" i="29"/>
  <c r="I55" i="29"/>
  <c r="H90" i="29"/>
  <c r="H67" i="29"/>
  <c r="J134" i="19"/>
  <c r="J119" i="19"/>
  <c r="J124" i="19"/>
  <c r="J127" i="19"/>
  <c r="I42" i="29"/>
  <c r="J116" i="19"/>
  <c r="J110" i="19"/>
  <c r="J133" i="19"/>
  <c r="J118" i="19"/>
  <c r="J121" i="19"/>
  <c r="J128" i="19"/>
  <c r="J113" i="19"/>
  <c r="J122" i="19"/>
  <c r="J114" i="19"/>
  <c r="J140" i="19"/>
  <c r="J141" i="19"/>
  <c r="J129" i="19"/>
  <c r="J120" i="19"/>
  <c r="J135" i="19"/>
  <c r="J137" i="19"/>
  <c r="J132" i="19"/>
  <c r="Q135" i="19"/>
  <c r="Q113" i="19"/>
  <c r="J117" i="19"/>
  <c r="J126" i="19"/>
  <c r="J109" i="19"/>
  <c r="J112" i="19"/>
  <c r="Q130" i="19"/>
  <c r="Q109" i="19"/>
  <c r="J139" i="19"/>
  <c r="Q124" i="19"/>
  <c r="J111" i="19"/>
  <c r="J123" i="19"/>
  <c r="J130" i="19"/>
  <c r="Q114" i="19"/>
  <c r="Q129" i="19"/>
  <c r="Q125" i="19"/>
  <c r="Q141" i="19"/>
  <c r="J138" i="19"/>
  <c r="Q123" i="19"/>
  <c r="Q122" i="19"/>
  <c r="Q138" i="19"/>
  <c r="Q131" i="19"/>
  <c r="H10" i="29"/>
  <c r="I104" i="29"/>
  <c r="I77" i="29"/>
  <c r="I20" i="29"/>
  <c r="H80" i="29"/>
  <c r="H107" i="29"/>
  <c r="I26" i="29"/>
  <c r="I15" i="29"/>
  <c r="U5" i="5"/>
  <c r="V5" i="5"/>
  <c r="W5" i="5"/>
  <c r="U6" i="5"/>
  <c r="V6" i="5"/>
  <c r="W6" i="5"/>
  <c r="U7" i="5"/>
  <c r="V7" i="5"/>
  <c r="W7" i="5"/>
  <c r="U8" i="5"/>
  <c r="Y8" i="5" s="1"/>
  <c r="V8" i="5"/>
  <c r="W8" i="5"/>
  <c r="U9" i="5"/>
  <c r="Y9" i="5" s="1"/>
  <c r="V9" i="5"/>
  <c r="W9" i="5"/>
  <c r="W4" i="5"/>
  <c r="V4" i="5"/>
  <c r="U4" i="5"/>
  <c r="G93" i="29"/>
  <c r="I92" i="29"/>
  <c r="G92" i="29"/>
  <c r="I91" i="29"/>
  <c r="G91" i="29"/>
  <c r="G90" i="29"/>
  <c r="I89" i="29"/>
  <c r="G89" i="29"/>
  <c r="G88" i="29"/>
  <c r="I87" i="29"/>
  <c r="G87" i="29"/>
  <c r="I86" i="29"/>
  <c r="G86" i="29"/>
  <c r="G85" i="29"/>
  <c r="I84" i="29"/>
  <c r="G84" i="29"/>
  <c r="G83" i="29"/>
  <c r="G82" i="29"/>
  <c r="G81" i="29"/>
  <c r="G80" i="29"/>
  <c r="G79" i="29"/>
  <c r="G78" i="29"/>
  <c r="H77" i="29"/>
  <c r="G77" i="29"/>
  <c r="G76" i="29"/>
  <c r="G75" i="29"/>
  <c r="G74" i="29"/>
  <c r="G73" i="29"/>
  <c r="G72" i="29"/>
  <c r="G71" i="29"/>
  <c r="G70" i="29"/>
  <c r="G69" i="29"/>
  <c r="G68" i="29"/>
  <c r="G67" i="29"/>
  <c r="G66" i="29"/>
  <c r="G65" i="29"/>
  <c r="I64" i="29"/>
  <c r="H64" i="29"/>
  <c r="G64" i="29"/>
  <c r="I63" i="29"/>
  <c r="H63" i="29"/>
  <c r="G63" i="29"/>
  <c r="H62" i="29"/>
  <c r="G62" i="29"/>
  <c r="I61" i="29"/>
  <c r="H61" i="29"/>
  <c r="G61" i="29"/>
  <c r="G60" i="29"/>
  <c r="I59" i="29"/>
  <c r="H59" i="29"/>
  <c r="G59" i="29"/>
  <c r="I58" i="29"/>
  <c r="H58" i="29"/>
  <c r="G58" i="29"/>
  <c r="H57" i="29"/>
  <c r="G57" i="29"/>
  <c r="I56" i="29"/>
  <c r="H56"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I30" i="29"/>
  <c r="H30" i="29"/>
  <c r="G30" i="29"/>
  <c r="I29" i="29"/>
  <c r="H29" i="29"/>
  <c r="G29" i="29"/>
  <c r="I28" i="29"/>
  <c r="H28" i="29"/>
  <c r="G28" i="29"/>
  <c r="I27" i="29"/>
  <c r="H27" i="29"/>
  <c r="G27" i="29"/>
  <c r="H26" i="29"/>
  <c r="G26" i="29"/>
  <c r="G25" i="29"/>
  <c r="I24" i="29"/>
  <c r="H24" i="29"/>
  <c r="G24" i="29"/>
  <c r="I23" i="29"/>
  <c r="H23" i="29"/>
  <c r="G23" i="29"/>
  <c r="I22" i="29"/>
  <c r="H22" i="29"/>
  <c r="G22" i="29"/>
  <c r="I21" i="29"/>
  <c r="H21" i="29"/>
  <c r="G21" i="29"/>
  <c r="H20" i="29"/>
  <c r="G20" i="29"/>
  <c r="I19" i="29"/>
  <c r="H19" i="29"/>
  <c r="G19" i="29"/>
  <c r="I18" i="29"/>
  <c r="H18" i="29"/>
  <c r="G18" i="29"/>
  <c r="I17" i="29"/>
  <c r="H17" i="29"/>
  <c r="G17" i="29"/>
  <c r="I16" i="29"/>
  <c r="H16" i="29"/>
  <c r="G16" i="29"/>
  <c r="H15" i="29"/>
  <c r="G15" i="29"/>
  <c r="I14" i="29"/>
  <c r="H14" i="29"/>
  <c r="G14" i="29"/>
  <c r="I13" i="29"/>
  <c r="H13" i="29"/>
  <c r="G13" i="29"/>
  <c r="I12" i="29"/>
  <c r="H12" i="29"/>
  <c r="G12" i="29"/>
  <c r="I11" i="29"/>
  <c r="H11" i="29"/>
  <c r="G11" i="29"/>
  <c r="I10" i="29"/>
  <c r="G10" i="29"/>
  <c r="I9" i="29"/>
  <c r="H9" i="29"/>
  <c r="G9" i="29"/>
  <c r="I8" i="29"/>
  <c r="H8" i="29"/>
  <c r="G8" i="29"/>
  <c r="I7" i="29"/>
  <c r="H7" i="29"/>
  <c r="G7" i="29"/>
  <c r="I6" i="29"/>
  <c r="H6" i="29"/>
  <c r="G6" i="29"/>
  <c r="P181" i="19" l="1"/>
  <c r="T195" i="19"/>
  <c r="S192" i="19"/>
  <c r="P183" i="19"/>
  <c r="S200" i="19"/>
  <c r="S183" i="19"/>
  <c r="P196" i="19"/>
  <c r="S190" i="19"/>
  <c r="P198" i="19"/>
  <c r="P185" i="19"/>
  <c r="S191" i="19"/>
  <c r="S193" i="19"/>
  <c r="S198" i="19"/>
  <c r="S195" i="19"/>
  <c r="S181" i="19"/>
  <c r="T188" i="19"/>
  <c r="P195" i="19"/>
  <c r="P192" i="19"/>
  <c r="T183" i="19"/>
  <c r="P189" i="19"/>
  <c r="P182" i="19"/>
  <c r="P190" i="19"/>
  <c r="T197" i="19"/>
  <c r="P199" i="19"/>
  <c r="T199" i="19"/>
  <c r="S199" i="19"/>
  <c r="T194" i="19"/>
  <c r="T192" i="19"/>
  <c r="T193" i="19"/>
  <c r="T198" i="19"/>
  <c r="T200" i="19"/>
  <c r="S196" i="19"/>
  <c r="P200" i="19"/>
  <c r="T189" i="19"/>
  <c r="S188" i="19"/>
  <c r="S194" i="19"/>
  <c r="T181" i="19"/>
  <c r="T182" i="19"/>
  <c r="S182" i="19"/>
  <c r="S189" i="19"/>
  <c r="S197" i="19"/>
  <c r="T201" i="19"/>
  <c r="P197" i="19"/>
  <c r="S201" i="19"/>
  <c r="P188" i="19"/>
  <c r="T191" i="19"/>
  <c r="P201" i="19"/>
  <c r="P191" i="19"/>
  <c r="T187" i="19"/>
  <c r="S185" i="19"/>
  <c r="T190" i="19"/>
  <c r="T185" i="19"/>
  <c r="S184" i="19"/>
  <c r="S186" i="19"/>
  <c r="T186" i="19"/>
  <c r="P184" i="19"/>
  <c r="T196" i="19"/>
  <c r="P194" i="19"/>
  <c r="T184" i="19"/>
  <c r="S187" i="19"/>
  <c r="P186" i="19"/>
  <c r="P187" i="19"/>
  <c r="P193" i="19"/>
  <c r="T168" i="19"/>
  <c r="P180" i="19"/>
  <c r="P172" i="19"/>
  <c r="P145" i="19"/>
  <c r="P169" i="19"/>
  <c r="P167" i="19"/>
  <c r="T173" i="19"/>
  <c r="P164" i="19"/>
  <c r="P156" i="19"/>
  <c r="P161" i="19"/>
  <c r="S173" i="19"/>
  <c r="S151" i="19"/>
  <c r="P151" i="19"/>
  <c r="P153" i="19"/>
  <c r="T164" i="19"/>
  <c r="S149" i="19"/>
  <c r="T172" i="19"/>
  <c r="P166" i="19"/>
  <c r="T143" i="19"/>
  <c r="P178" i="19"/>
  <c r="S169" i="19"/>
  <c r="P173" i="19"/>
  <c r="P162" i="19"/>
  <c r="S172" i="19"/>
  <c r="T166" i="19"/>
  <c r="S176" i="19"/>
  <c r="S143" i="19"/>
  <c r="T178" i="19"/>
  <c r="S166" i="19"/>
  <c r="P143" i="19"/>
  <c r="S174" i="19"/>
  <c r="T145" i="19"/>
  <c r="S145" i="19"/>
  <c r="S165" i="19"/>
  <c r="T142" i="19"/>
  <c r="P142" i="19"/>
  <c r="P149" i="19"/>
  <c r="T169" i="19"/>
  <c r="T162" i="19"/>
  <c r="T174" i="19"/>
  <c r="P176" i="19"/>
  <c r="T159" i="19"/>
  <c r="T146" i="19"/>
  <c r="P159" i="19"/>
  <c r="S167" i="19"/>
  <c r="S146" i="19"/>
  <c r="S180" i="19"/>
  <c r="T148" i="19"/>
  <c r="P175" i="19"/>
  <c r="P148" i="19"/>
  <c r="S162" i="19"/>
  <c r="S170" i="19"/>
  <c r="S159" i="19"/>
  <c r="S144" i="19"/>
  <c r="T154" i="19"/>
  <c r="S154" i="19"/>
  <c r="T156" i="19"/>
  <c r="T153" i="19"/>
  <c r="P165" i="19"/>
  <c r="P174" i="19"/>
  <c r="T170" i="19"/>
  <c r="P170" i="19"/>
  <c r="T161" i="19"/>
  <c r="T167" i="19"/>
  <c r="P144" i="19"/>
  <c r="S142" i="19"/>
  <c r="T155" i="19"/>
  <c r="S153" i="19"/>
  <c r="P168" i="19"/>
  <c r="S161" i="19"/>
  <c r="T180" i="19"/>
  <c r="P154" i="19"/>
  <c r="S175" i="19"/>
  <c r="S164" i="19"/>
  <c r="T151" i="19"/>
  <c r="T165" i="19"/>
  <c r="S168" i="19"/>
  <c r="T175" i="19"/>
  <c r="S155" i="19"/>
  <c r="P146" i="19"/>
  <c r="T144" i="19"/>
  <c r="S148" i="19"/>
  <c r="T176" i="19"/>
  <c r="S178" i="19"/>
  <c r="P150" i="19"/>
  <c r="S150" i="19"/>
  <c r="P155" i="19"/>
  <c r="T150" i="19"/>
  <c r="S156" i="19"/>
  <c r="T149" i="19"/>
  <c r="T147" i="19"/>
  <c r="T177" i="19"/>
  <c r="P158" i="19"/>
  <c r="P160" i="19"/>
  <c r="S163" i="19"/>
  <c r="P157" i="19"/>
  <c r="T152" i="19"/>
  <c r="S177" i="19"/>
  <c r="P177" i="19"/>
  <c r="S171" i="19"/>
  <c r="T160" i="19"/>
  <c r="T179" i="19"/>
  <c r="T157" i="19"/>
  <c r="P152" i="19"/>
  <c r="T158" i="19"/>
  <c r="T171" i="19"/>
  <c r="P171" i="19"/>
  <c r="P163" i="19"/>
  <c r="T163" i="19"/>
  <c r="P147" i="19"/>
  <c r="S157" i="19"/>
  <c r="S160" i="19"/>
  <c r="P179" i="19"/>
  <c r="S152" i="19"/>
  <c r="S158" i="19"/>
  <c r="S179" i="19"/>
  <c r="S147" i="19"/>
  <c r="T127" i="19"/>
  <c r="T138" i="19"/>
  <c r="T139" i="19"/>
  <c r="T120" i="19"/>
  <c r="P115" i="19"/>
  <c r="P125" i="19"/>
  <c r="P128" i="19"/>
  <c r="P129" i="19"/>
  <c r="S129" i="19"/>
  <c r="S128" i="19"/>
  <c r="T119" i="19"/>
  <c r="T141" i="19"/>
  <c r="T128" i="19"/>
  <c r="S140" i="19"/>
  <c r="S124" i="19"/>
  <c r="P140" i="19"/>
  <c r="S133" i="19"/>
  <c r="T133" i="19"/>
  <c r="T115" i="19"/>
  <c r="S121" i="19"/>
  <c r="T116" i="19"/>
  <c r="S118" i="19"/>
  <c r="T124" i="19"/>
  <c r="T114" i="19"/>
  <c r="S141" i="19"/>
  <c r="T136" i="19"/>
  <c r="P121" i="19"/>
  <c r="P136" i="19"/>
  <c r="T118" i="19"/>
  <c r="P124" i="19"/>
  <c r="S115" i="19"/>
  <c r="S127" i="19"/>
  <c r="S131" i="19"/>
  <c r="P118" i="19"/>
  <c r="T112" i="19"/>
  <c r="S116" i="19"/>
  <c r="P127" i="19"/>
  <c r="P116" i="19"/>
  <c r="P134" i="19"/>
  <c r="S109" i="19"/>
  <c r="T113" i="19"/>
  <c r="S134" i="19"/>
  <c r="P135" i="19"/>
  <c r="T110" i="19"/>
  <c r="T134" i="19"/>
  <c r="T130" i="19"/>
  <c r="T117" i="19"/>
  <c r="P110" i="19"/>
  <c r="S137" i="19"/>
  <c r="S135" i="19"/>
  <c r="P120" i="19"/>
  <c r="P122" i="19"/>
  <c r="S123" i="19"/>
  <c r="S119" i="19"/>
  <c r="P141" i="19"/>
  <c r="T137" i="19"/>
  <c r="S136" i="19"/>
  <c r="S113" i="19"/>
  <c r="P131" i="19"/>
  <c r="T122" i="19"/>
  <c r="P113" i="19"/>
  <c r="T131" i="19"/>
  <c r="S126" i="19"/>
  <c r="P119" i="19"/>
  <c r="S122" i="19"/>
  <c r="T111" i="19"/>
  <c r="T121" i="19"/>
  <c r="S125" i="19"/>
  <c r="T125" i="19"/>
  <c r="S114" i="19"/>
  <c r="S110" i="19"/>
  <c r="P133" i="19"/>
  <c r="T129" i="19"/>
  <c r="T132" i="19"/>
  <c r="S120" i="19"/>
  <c r="P137" i="19"/>
  <c r="P114" i="19"/>
  <c r="P126" i="19"/>
  <c r="T140" i="19"/>
  <c r="P132" i="19"/>
  <c r="S130" i="19"/>
  <c r="T126" i="19"/>
  <c r="T109" i="19"/>
  <c r="P117" i="19"/>
  <c r="P109" i="19"/>
  <c r="T135" i="19"/>
  <c r="S117" i="19"/>
  <c r="S132" i="19"/>
  <c r="S111" i="19"/>
  <c r="P112" i="19"/>
  <c r="S112" i="19"/>
  <c r="S139" i="19"/>
  <c r="P138" i="19"/>
  <c r="P139" i="19"/>
  <c r="S138" i="19"/>
  <c r="P111" i="19"/>
  <c r="P123" i="19"/>
  <c r="T123" i="19"/>
  <c r="P130" i="19"/>
  <c r="T5" i="5"/>
  <c r="T6" i="5"/>
  <c r="T9" i="5"/>
  <c r="AC9" i="5" s="1"/>
  <c r="T7" i="5"/>
  <c r="T8" i="5"/>
  <c r="T4" i="5"/>
  <c r="Y4" i="5"/>
  <c r="AE4" i="5"/>
  <c r="Y5" i="5"/>
  <c r="AE5" i="5"/>
  <c r="Y6" i="5"/>
  <c r="AA6" i="5"/>
  <c r="AE6" i="5"/>
  <c r="Y7" i="5"/>
  <c r="AE7" i="5"/>
  <c r="AE8" i="5"/>
  <c r="R182" i="19" l="1"/>
  <c r="W182" i="19" s="1"/>
  <c r="R189" i="19"/>
  <c r="W189" i="19" s="1"/>
  <c r="R191" i="19"/>
  <c r="W191" i="19" s="1"/>
  <c r="R199" i="19"/>
  <c r="W199" i="19" s="1"/>
  <c r="R196" i="19"/>
  <c r="W196" i="19" s="1"/>
  <c r="R195" i="19"/>
  <c r="W195" i="19" s="1"/>
  <c r="R194" i="19"/>
  <c r="W194" i="19" s="1"/>
  <c r="R201" i="19"/>
  <c r="W201" i="19" s="1"/>
  <c r="R184" i="19"/>
  <c r="W184" i="19" s="1"/>
  <c r="R193" i="19"/>
  <c r="W193" i="19" s="1"/>
  <c r="R188" i="19"/>
  <c r="W188" i="19" s="1"/>
  <c r="R183" i="19"/>
  <c r="W183" i="19" s="1"/>
  <c r="R200" i="19"/>
  <c r="W200" i="19" s="1"/>
  <c r="R192" i="19"/>
  <c r="W192" i="19" s="1"/>
  <c r="R197" i="19"/>
  <c r="W197" i="19" s="1"/>
  <c r="R198" i="19"/>
  <c r="W198" i="19" s="1"/>
  <c r="R190" i="19"/>
  <c r="W190" i="19" s="1"/>
  <c r="R185" i="19"/>
  <c r="W185" i="19" s="1"/>
  <c r="R187" i="19"/>
  <c r="W187" i="19" s="1"/>
  <c r="R186" i="19"/>
  <c r="W186" i="19" s="1"/>
  <c r="R181" i="19"/>
  <c r="W181" i="19" s="1"/>
  <c r="R156" i="19"/>
  <c r="W156" i="19" s="1"/>
  <c r="R154" i="19"/>
  <c r="W154" i="19" s="1"/>
  <c r="R169" i="19"/>
  <c r="W169" i="19" s="1"/>
  <c r="R148" i="19"/>
  <c r="W148" i="19" s="1"/>
  <c r="R167" i="19"/>
  <c r="W167" i="19" s="1"/>
  <c r="R180" i="19"/>
  <c r="W180" i="19" s="1"/>
  <c r="R172" i="19"/>
  <c r="W172" i="19" s="1"/>
  <c r="R147" i="19"/>
  <c r="W147" i="19" s="1"/>
  <c r="R166" i="19"/>
  <c r="W166" i="19" s="1"/>
  <c r="R165" i="19"/>
  <c r="W165" i="19" s="1"/>
  <c r="R152" i="19"/>
  <c r="W152" i="19" s="1"/>
  <c r="R143" i="19"/>
  <c r="W143" i="19" s="1"/>
  <c r="R144" i="19"/>
  <c r="W144" i="19" s="1"/>
  <c r="R174" i="19"/>
  <c r="W174" i="19" s="1"/>
  <c r="R146" i="19"/>
  <c r="W146" i="19" s="1"/>
  <c r="R163" i="19"/>
  <c r="W163" i="19" s="1"/>
  <c r="R159" i="19"/>
  <c r="W159" i="19" s="1"/>
  <c r="R175" i="19"/>
  <c r="W175" i="19" s="1"/>
  <c r="R176" i="19"/>
  <c r="W176" i="19" s="1"/>
  <c r="R161" i="19"/>
  <c r="W161" i="19" s="1"/>
  <c r="R170" i="19"/>
  <c r="W170" i="19" s="1"/>
  <c r="R171" i="19"/>
  <c r="W171" i="19" s="1"/>
  <c r="R145" i="19"/>
  <c r="W145" i="19" s="1"/>
  <c r="R150" i="19"/>
  <c r="W150" i="19" s="1"/>
  <c r="R177" i="19"/>
  <c r="W177" i="19" s="1"/>
  <c r="R158" i="19"/>
  <c r="W158" i="19" s="1"/>
  <c r="R151" i="19"/>
  <c r="W151" i="19" s="1"/>
  <c r="R153" i="19"/>
  <c r="W153" i="19" s="1"/>
  <c r="R157" i="19"/>
  <c r="W157" i="19" s="1"/>
  <c r="R160" i="19"/>
  <c r="W160" i="19" s="1"/>
  <c r="R164" i="19"/>
  <c r="W164" i="19" s="1"/>
  <c r="R155" i="19"/>
  <c r="W155" i="19" s="1"/>
  <c r="R162" i="19"/>
  <c r="W162" i="19" s="1"/>
  <c r="R173" i="19"/>
  <c r="W173" i="19" s="1"/>
  <c r="R168" i="19"/>
  <c r="W168" i="19" s="1"/>
  <c r="R149" i="19"/>
  <c r="W149" i="19" s="1"/>
  <c r="R179" i="19"/>
  <c r="W179" i="19" s="1"/>
  <c r="R142" i="19"/>
  <c r="W142" i="19" s="1"/>
  <c r="R178" i="19"/>
  <c r="W178" i="19" s="1"/>
  <c r="R141" i="19"/>
  <c r="W141" i="19" s="1"/>
  <c r="R123" i="19"/>
  <c r="W123" i="19" s="1"/>
  <c r="R111" i="19"/>
  <c r="W111" i="19" s="1"/>
  <c r="R128" i="19"/>
  <c r="W128" i="19" s="1"/>
  <c r="R119" i="19"/>
  <c r="W119" i="19" s="1"/>
  <c r="R118" i="19"/>
  <c r="W118" i="19" s="1"/>
  <c r="R114" i="19"/>
  <c r="W114" i="19" s="1"/>
  <c r="R129" i="19"/>
  <c r="W129" i="19" s="1"/>
  <c r="R139" i="19"/>
  <c r="W139" i="19" s="1"/>
  <c r="R124" i="19"/>
  <c r="W124" i="19" s="1"/>
  <c r="R138" i="19"/>
  <c r="W138" i="19" s="1"/>
  <c r="R113" i="19"/>
  <c r="W113" i="19" s="1"/>
  <c r="R134" i="19"/>
  <c r="W134" i="19" s="1"/>
  <c r="R109" i="19"/>
  <c r="W109" i="19" s="1"/>
  <c r="R115" i="19"/>
  <c r="W115" i="19" s="1"/>
  <c r="R140" i="19"/>
  <c r="W140" i="19" s="1"/>
  <c r="R137" i="19"/>
  <c r="W137" i="19" s="1"/>
  <c r="R131" i="19"/>
  <c r="W131" i="19" s="1"/>
  <c r="R133" i="19"/>
  <c r="W133" i="19" s="1"/>
  <c r="R127" i="19"/>
  <c r="W127" i="19" s="1"/>
  <c r="R117" i="19"/>
  <c r="W117" i="19" s="1"/>
  <c r="R122" i="19"/>
  <c r="W122" i="19" s="1"/>
  <c r="R130" i="19"/>
  <c r="W130" i="19" s="1"/>
  <c r="R126" i="19"/>
  <c r="W126" i="19" s="1"/>
  <c r="R136" i="19"/>
  <c r="W136" i="19" s="1"/>
  <c r="R135" i="19"/>
  <c r="W135" i="19" s="1"/>
  <c r="R121" i="19"/>
  <c r="W121" i="19" s="1"/>
  <c r="R112" i="19"/>
  <c r="W112" i="19" s="1"/>
  <c r="R116" i="19"/>
  <c r="W116" i="19" s="1"/>
  <c r="R125" i="19"/>
  <c r="W125" i="19" s="1"/>
  <c r="R120" i="19"/>
  <c r="W120" i="19" s="1"/>
  <c r="R132" i="19"/>
  <c r="W132" i="19" s="1"/>
  <c r="R110" i="19"/>
  <c r="W110" i="19" s="1"/>
  <c r="AD5" i="5"/>
  <c r="Z5" i="5"/>
  <c r="AC5" i="5"/>
  <c r="AD6" i="5"/>
  <c r="Z6" i="5"/>
  <c r="AC6" i="5"/>
  <c r="AD9" i="5"/>
  <c r="Z9" i="5"/>
  <c r="AC4" i="5"/>
  <c r="Z4" i="5"/>
  <c r="AD4" i="5"/>
  <c r="AD8" i="5"/>
  <c r="Z8" i="5"/>
  <c r="AC8" i="5"/>
  <c r="AD7" i="5"/>
  <c r="Z7" i="5"/>
  <c r="AC7" i="5"/>
  <c r="C23" i="16"/>
  <c r="C19" i="16"/>
  <c r="C18" i="16"/>
  <c r="C17" i="16"/>
  <c r="J23" i="16"/>
  <c r="J19" i="16"/>
  <c r="J18" i="16"/>
  <c r="J17" i="16"/>
  <c r="C3" i="14"/>
  <c r="D4" i="14"/>
  <c r="J4" i="14"/>
  <c r="I3" i="14"/>
  <c r="AB9" i="5" l="1"/>
  <c r="AF9" i="5" s="1"/>
  <c r="K11" i="5" s="1"/>
  <c r="F76" i="15"/>
  <c r="F75" i="15"/>
  <c r="F74" i="15"/>
  <c r="F73" i="15"/>
  <c r="F72" i="15"/>
  <c r="C76" i="15"/>
  <c r="C75" i="15"/>
  <c r="C74" i="15"/>
  <c r="C73" i="15"/>
  <c r="C72" i="15"/>
  <c r="D72" i="15"/>
  <c r="E72" i="15"/>
  <c r="D73" i="15"/>
  <c r="E73" i="15"/>
  <c r="D74" i="15"/>
  <c r="E74" i="15"/>
  <c r="D75" i="15"/>
  <c r="E75" i="15"/>
  <c r="D76" i="15"/>
  <c r="E76" i="15"/>
  <c r="D144" i="15" l="1"/>
  <c r="O18" i="7" l="1"/>
  <c r="O17" i="7"/>
  <c r="C46" i="15" l="1"/>
  <c r="C58" i="15" s="1"/>
  <c r="D58" i="15" s="1"/>
  <c r="C45" i="15"/>
  <c r="C57" i="15" s="1"/>
  <c r="D57" i="15" s="1"/>
  <c r="C44" i="15"/>
  <c r="D44" i="15" s="1"/>
  <c r="C43" i="15"/>
  <c r="C55" i="15" s="1"/>
  <c r="D55" i="15" s="1"/>
  <c r="C42" i="15"/>
  <c r="C54" i="15" s="1"/>
  <c r="D54" i="15" s="1"/>
  <c r="C40" i="15"/>
  <c r="D40" i="15" s="1"/>
  <c r="C39" i="15"/>
  <c r="D39" i="15" s="1"/>
  <c r="C38" i="15"/>
  <c r="C50" i="15" s="1"/>
  <c r="D50" i="15" s="1"/>
  <c r="C37" i="15"/>
  <c r="C49" i="15" s="1"/>
  <c r="D49" i="15" s="1"/>
  <c r="C36" i="15"/>
  <c r="C48" i="15" s="1"/>
  <c r="D48" i="15" s="1"/>
  <c r="C56" i="15" l="1"/>
  <c r="D56" i="15" s="1"/>
  <c r="D45" i="15"/>
  <c r="D46" i="15"/>
  <c r="C51" i="15"/>
  <c r="D51" i="15" s="1"/>
  <c r="C52" i="15"/>
  <c r="D52" i="15" s="1"/>
  <c r="D42" i="15"/>
  <c r="D43" i="15"/>
  <c r="D36" i="15"/>
  <c r="D37" i="15"/>
  <c r="D38" i="15"/>
  <c r="M4" i="14" l="1"/>
  <c r="M3" i="14"/>
  <c r="N108" i="19" l="1"/>
  <c r="O108" i="19" s="1"/>
  <c r="M108" i="19"/>
  <c r="L108" i="19"/>
  <c r="K108" i="19"/>
  <c r="N107" i="19"/>
  <c r="O107" i="19" s="1"/>
  <c r="M107" i="19"/>
  <c r="L107" i="19"/>
  <c r="K107" i="19"/>
  <c r="N106" i="19"/>
  <c r="O106" i="19" s="1"/>
  <c r="M106" i="19"/>
  <c r="L106" i="19"/>
  <c r="K106" i="19"/>
  <c r="N105" i="19"/>
  <c r="O105" i="19" s="1"/>
  <c r="M105" i="19"/>
  <c r="L105" i="19"/>
  <c r="K105" i="19"/>
  <c r="N104" i="19"/>
  <c r="M104" i="19"/>
  <c r="L104" i="19"/>
  <c r="K104" i="19"/>
  <c r="N103" i="19"/>
  <c r="M103" i="19"/>
  <c r="L103" i="19"/>
  <c r="K103" i="19"/>
  <c r="N102" i="19"/>
  <c r="M102" i="19"/>
  <c r="L102" i="19"/>
  <c r="K102" i="19"/>
  <c r="N101" i="19"/>
  <c r="O101" i="19" s="1"/>
  <c r="M101" i="19"/>
  <c r="L101" i="19"/>
  <c r="K101" i="19"/>
  <c r="N100" i="19"/>
  <c r="M100" i="19"/>
  <c r="L100" i="19"/>
  <c r="K100" i="19"/>
  <c r="N99" i="19"/>
  <c r="M99" i="19"/>
  <c r="L99" i="19"/>
  <c r="K99" i="19"/>
  <c r="N98" i="19"/>
  <c r="M98" i="19"/>
  <c r="L98" i="19"/>
  <c r="K98" i="19"/>
  <c r="N97" i="19"/>
  <c r="M97" i="19"/>
  <c r="L97" i="19"/>
  <c r="K97" i="19"/>
  <c r="N96" i="19"/>
  <c r="O96" i="19" s="1"/>
  <c r="M96" i="19"/>
  <c r="L96" i="19"/>
  <c r="K96" i="19"/>
  <c r="N95" i="19"/>
  <c r="M95" i="19"/>
  <c r="L95" i="19"/>
  <c r="K95" i="19"/>
  <c r="N94" i="19"/>
  <c r="M94" i="19"/>
  <c r="L94" i="19"/>
  <c r="K94" i="19"/>
  <c r="N93" i="19"/>
  <c r="M93" i="19"/>
  <c r="L93" i="19"/>
  <c r="K93" i="19"/>
  <c r="N92" i="19"/>
  <c r="M92" i="19"/>
  <c r="L92" i="19"/>
  <c r="K92" i="19"/>
  <c r="N91" i="19"/>
  <c r="O91" i="19" s="1"/>
  <c r="M91" i="19"/>
  <c r="L91" i="19"/>
  <c r="K91" i="19"/>
  <c r="N90" i="19"/>
  <c r="M90" i="19"/>
  <c r="L90" i="19"/>
  <c r="K90" i="19"/>
  <c r="N89" i="19"/>
  <c r="M89" i="19"/>
  <c r="L89" i="19"/>
  <c r="K89" i="19"/>
  <c r="N88" i="19"/>
  <c r="M88" i="19"/>
  <c r="L88" i="19"/>
  <c r="K88" i="19"/>
  <c r="N87" i="19"/>
  <c r="M87" i="19"/>
  <c r="L87" i="19"/>
  <c r="K87" i="19"/>
  <c r="N86" i="19"/>
  <c r="O86" i="19" s="1"/>
  <c r="M86" i="19"/>
  <c r="L86" i="19"/>
  <c r="K86" i="19"/>
  <c r="N85" i="19"/>
  <c r="O85" i="19" s="1"/>
  <c r="M85" i="19"/>
  <c r="L85" i="19"/>
  <c r="K85" i="19"/>
  <c r="N84" i="19"/>
  <c r="M84" i="19"/>
  <c r="L84" i="19"/>
  <c r="K84" i="19"/>
  <c r="N83" i="19"/>
  <c r="M83" i="19"/>
  <c r="L83" i="19"/>
  <c r="K83" i="19"/>
  <c r="N82" i="19"/>
  <c r="M82" i="19"/>
  <c r="L82" i="19"/>
  <c r="K82" i="19"/>
  <c r="N81" i="19"/>
  <c r="O81" i="19" s="1"/>
  <c r="M81" i="19"/>
  <c r="L81" i="19"/>
  <c r="K81" i="19"/>
  <c r="N80" i="19"/>
  <c r="M80" i="19"/>
  <c r="L80" i="19"/>
  <c r="K80" i="19"/>
  <c r="N79" i="19"/>
  <c r="M79" i="19"/>
  <c r="L79" i="19"/>
  <c r="K79" i="19"/>
  <c r="N78" i="19"/>
  <c r="M78" i="19"/>
  <c r="L78" i="19"/>
  <c r="K78" i="19"/>
  <c r="N77" i="19"/>
  <c r="M77" i="19"/>
  <c r="L77" i="19"/>
  <c r="K77" i="19"/>
  <c r="N76" i="19"/>
  <c r="O76" i="19" s="1"/>
  <c r="M76" i="19"/>
  <c r="L76" i="19"/>
  <c r="K76" i="19"/>
  <c r="N75" i="19"/>
  <c r="M75" i="19"/>
  <c r="L75" i="19"/>
  <c r="K75" i="19"/>
  <c r="N74" i="19"/>
  <c r="M74" i="19"/>
  <c r="L74" i="19"/>
  <c r="K74" i="19"/>
  <c r="N73" i="19"/>
  <c r="M73" i="19"/>
  <c r="L73" i="19"/>
  <c r="K73" i="19"/>
  <c r="N72" i="19"/>
  <c r="M72" i="19"/>
  <c r="L72" i="19"/>
  <c r="K72" i="19"/>
  <c r="N71" i="19"/>
  <c r="O71" i="19" s="1"/>
  <c r="M71" i="19"/>
  <c r="L71" i="19"/>
  <c r="K71" i="19"/>
  <c r="N70" i="19"/>
  <c r="M70" i="19"/>
  <c r="L70" i="19"/>
  <c r="K70" i="19"/>
  <c r="N69" i="19"/>
  <c r="M69" i="19"/>
  <c r="L69" i="19"/>
  <c r="K69" i="19"/>
  <c r="N68" i="19"/>
  <c r="M68" i="19"/>
  <c r="L68" i="19"/>
  <c r="K68" i="19"/>
  <c r="N67" i="19"/>
  <c r="O67" i="19" s="1"/>
  <c r="M67" i="19"/>
  <c r="L67" i="19"/>
  <c r="K67" i="19"/>
  <c r="N66" i="19"/>
  <c r="O66" i="19" s="1"/>
  <c r="M66" i="19"/>
  <c r="L66" i="19"/>
  <c r="K66" i="19"/>
  <c r="N65" i="19"/>
  <c r="M65" i="19"/>
  <c r="L65" i="19"/>
  <c r="K65" i="19"/>
  <c r="N64" i="19"/>
  <c r="M64" i="19"/>
  <c r="L64" i="19"/>
  <c r="K64" i="19"/>
  <c r="N63" i="19"/>
  <c r="O63" i="19" s="1"/>
  <c r="M63" i="19"/>
  <c r="L63" i="19"/>
  <c r="K63" i="19"/>
  <c r="N62" i="19"/>
  <c r="M62" i="19"/>
  <c r="L62" i="19"/>
  <c r="K62" i="19"/>
  <c r="N61" i="19"/>
  <c r="M61" i="19"/>
  <c r="L61" i="19"/>
  <c r="K61" i="19"/>
  <c r="N60" i="19"/>
  <c r="M60" i="19"/>
  <c r="L60" i="19"/>
  <c r="K60" i="19"/>
  <c r="N59" i="19"/>
  <c r="O59" i="19" s="1"/>
  <c r="M59" i="19"/>
  <c r="L59" i="19"/>
  <c r="K59" i="19"/>
  <c r="N58" i="19"/>
  <c r="M58" i="19"/>
  <c r="L58" i="19"/>
  <c r="K58" i="19"/>
  <c r="N57" i="19"/>
  <c r="M57" i="19"/>
  <c r="L57" i="19"/>
  <c r="K57" i="19"/>
  <c r="N56" i="19"/>
  <c r="M56" i="19"/>
  <c r="L56" i="19"/>
  <c r="K56" i="19"/>
  <c r="N55" i="19"/>
  <c r="O55" i="19" s="1"/>
  <c r="M55" i="19"/>
  <c r="L55" i="19"/>
  <c r="K55" i="19"/>
  <c r="N54" i="19"/>
  <c r="M54" i="19"/>
  <c r="L54" i="19"/>
  <c r="K54" i="19"/>
  <c r="N53" i="19"/>
  <c r="M53" i="19"/>
  <c r="L53" i="19"/>
  <c r="K53" i="19"/>
  <c r="N52" i="19"/>
  <c r="M52" i="19"/>
  <c r="L52" i="19"/>
  <c r="K52" i="19"/>
  <c r="N51" i="19"/>
  <c r="M51" i="19"/>
  <c r="L51" i="19"/>
  <c r="K51" i="19"/>
  <c r="N50" i="19"/>
  <c r="O50" i="19" s="1"/>
  <c r="M50" i="19"/>
  <c r="L50" i="19"/>
  <c r="K50" i="19"/>
  <c r="N49" i="19"/>
  <c r="O49" i="19" s="1"/>
  <c r="M49" i="19"/>
  <c r="L49" i="19"/>
  <c r="K49" i="19"/>
  <c r="N48" i="19"/>
  <c r="M48" i="19"/>
  <c r="L48" i="19"/>
  <c r="K48" i="19"/>
  <c r="N47" i="19"/>
  <c r="M47" i="19"/>
  <c r="L47" i="19"/>
  <c r="K47" i="19"/>
  <c r="N46" i="19"/>
  <c r="M46" i="19"/>
  <c r="L46" i="19"/>
  <c r="K46" i="19"/>
  <c r="N45" i="19"/>
  <c r="O45" i="19" s="1"/>
  <c r="M45" i="19"/>
  <c r="L45" i="19"/>
  <c r="K45" i="19"/>
  <c r="N44" i="19"/>
  <c r="M44" i="19"/>
  <c r="L44" i="19"/>
  <c r="K44" i="19"/>
  <c r="N43" i="19"/>
  <c r="M43" i="19"/>
  <c r="L43" i="19"/>
  <c r="K43" i="19"/>
  <c r="N42" i="19"/>
  <c r="M42" i="19"/>
  <c r="L42" i="19"/>
  <c r="K42" i="19"/>
  <c r="N41" i="19"/>
  <c r="M41" i="19"/>
  <c r="L41" i="19"/>
  <c r="K41" i="19"/>
  <c r="N40" i="19"/>
  <c r="M40" i="19"/>
  <c r="L40" i="19"/>
  <c r="K40" i="19"/>
  <c r="N39" i="19"/>
  <c r="M39" i="19"/>
  <c r="L39" i="19"/>
  <c r="K39" i="19"/>
  <c r="N38" i="19"/>
  <c r="O38" i="19" s="1"/>
  <c r="M38" i="19"/>
  <c r="L38" i="19"/>
  <c r="K38" i="19"/>
  <c r="N37" i="19"/>
  <c r="M37" i="19"/>
  <c r="L37" i="19"/>
  <c r="K37" i="19"/>
  <c r="N36" i="19"/>
  <c r="M36" i="19"/>
  <c r="L36" i="19"/>
  <c r="K36" i="19"/>
  <c r="N35" i="19"/>
  <c r="M35" i="19"/>
  <c r="L35" i="19"/>
  <c r="K35" i="19"/>
  <c r="N34" i="19"/>
  <c r="O34" i="19" s="1"/>
  <c r="M34" i="19"/>
  <c r="L34" i="19"/>
  <c r="K34" i="19"/>
  <c r="N33" i="19"/>
  <c r="O33" i="19" s="1"/>
  <c r="M33" i="19"/>
  <c r="L33" i="19"/>
  <c r="K33" i="19"/>
  <c r="N32" i="19"/>
  <c r="O32" i="19" s="1"/>
  <c r="M32" i="19"/>
  <c r="L32" i="19"/>
  <c r="K32" i="19"/>
  <c r="N31" i="19"/>
  <c r="M31" i="19"/>
  <c r="L31" i="19"/>
  <c r="K31" i="19"/>
  <c r="N30" i="19"/>
  <c r="M30" i="19"/>
  <c r="L30" i="19"/>
  <c r="K30" i="19"/>
  <c r="N29" i="19"/>
  <c r="M29" i="19"/>
  <c r="L29" i="19"/>
  <c r="K29" i="19"/>
  <c r="N28" i="19"/>
  <c r="O28" i="19" s="1"/>
  <c r="M28" i="19"/>
  <c r="L28" i="19"/>
  <c r="K28" i="19"/>
  <c r="N27" i="19"/>
  <c r="O27" i="19" s="1"/>
  <c r="M27" i="19"/>
  <c r="L27" i="19"/>
  <c r="K27" i="19"/>
  <c r="N26" i="19"/>
  <c r="M26" i="19"/>
  <c r="L26" i="19"/>
  <c r="K26" i="19"/>
  <c r="N25" i="19"/>
  <c r="M25" i="19"/>
  <c r="L25" i="19"/>
  <c r="K25" i="19"/>
  <c r="N24" i="19"/>
  <c r="M24" i="19"/>
  <c r="L24" i="19"/>
  <c r="K24" i="19"/>
  <c r="N23" i="19"/>
  <c r="O23" i="19" s="1"/>
  <c r="M23" i="19"/>
  <c r="L23" i="19"/>
  <c r="K23" i="19"/>
  <c r="N22" i="19"/>
  <c r="M22" i="19"/>
  <c r="L22" i="19"/>
  <c r="K22" i="19"/>
  <c r="N21" i="19"/>
  <c r="M21" i="19"/>
  <c r="L21" i="19"/>
  <c r="K21" i="19"/>
  <c r="N20" i="19"/>
  <c r="M20" i="19"/>
  <c r="L20" i="19"/>
  <c r="K20" i="19"/>
  <c r="N19" i="19"/>
  <c r="M19" i="19"/>
  <c r="L19" i="19"/>
  <c r="K19" i="19"/>
  <c r="N18" i="19"/>
  <c r="O18" i="19" s="1"/>
  <c r="M18" i="19"/>
  <c r="L18" i="19"/>
  <c r="K18" i="19"/>
  <c r="N17" i="19"/>
  <c r="M17" i="19"/>
  <c r="L17" i="19"/>
  <c r="K17" i="19"/>
  <c r="N16" i="19"/>
  <c r="M16" i="19"/>
  <c r="L16" i="19"/>
  <c r="K16" i="19"/>
  <c r="N15" i="19"/>
  <c r="M15" i="19"/>
  <c r="L15" i="19"/>
  <c r="K15" i="19"/>
  <c r="N14" i="19"/>
  <c r="M14" i="19"/>
  <c r="L14" i="19"/>
  <c r="K14" i="19"/>
  <c r="N13" i="19"/>
  <c r="O13" i="19" s="1"/>
  <c r="M13" i="19"/>
  <c r="L13" i="19"/>
  <c r="K13" i="19"/>
  <c r="V108" i="19"/>
  <c r="U7" i="19" l="1"/>
  <c r="Q48" i="19"/>
  <c r="O48" i="19"/>
  <c r="Q88" i="19"/>
  <c r="O88" i="19"/>
  <c r="Q100" i="19"/>
  <c r="O100" i="19"/>
  <c r="Q104" i="19"/>
  <c r="O104" i="19"/>
  <c r="Q40" i="19"/>
  <c r="O40" i="19"/>
  <c r="Q92" i="19"/>
  <c r="O92" i="19"/>
  <c r="Q24" i="19"/>
  <c r="O24" i="19"/>
  <c r="Q56" i="19"/>
  <c r="O56" i="19"/>
  <c r="Q41" i="19"/>
  <c r="O41" i="19"/>
  <c r="Q53" i="19"/>
  <c r="O53" i="19"/>
  <c r="Q57" i="19"/>
  <c r="O57" i="19"/>
  <c r="Q61" i="19"/>
  <c r="O61" i="19"/>
  <c r="Q65" i="19"/>
  <c r="O65" i="19"/>
  <c r="Q69" i="19"/>
  <c r="O69" i="19"/>
  <c r="Q73" i="19"/>
  <c r="O73" i="19"/>
  <c r="Q77" i="19"/>
  <c r="O77" i="19"/>
  <c r="Q89" i="19"/>
  <c r="O89" i="19"/>
  <c r="Q93" i="19"/>
  <c r="O93" i="19"/>
  <c r="Q97" i="19"/>
  <c r="O97" i="19"/>
  <c r="Q64" i="19"/>
  <c r="O64" i="19"/>
  <c r="Q20" i="19"/>
  <c r="O20" i="19"/>
  <c r="Q52" i="19"/>
  <c r="O52" i="19"/>
  <c r="Q16" i="19"/>
  <c r="O16" i="19"/>
  <c r="Q84" i="19"/>
  <c r="O84" i="19"/>
  <c r="Q25" i="19"/>
  <c r="O25" i="19"/>
  <c r="Q22" i="19"/>
  <c r="O22" i="19"/>
  <c r="Q26" i="19"/>
  <c r="O26" i="19"/>
  <c r="Q30" i="19"/>
  <c r="O30" i="19"/>
  <c r="Q42" i="19"/>
  <c r="O42" i="19"/>
  <c r="Q46" i="19"/>
  <c r="O46" i="19"/>
  <c r="Q54" i="19"/>
  <c r="O54" i="19"/>
  <c r="Q58" i="19"/>
  <c r="O58" i="19"/>
  <c r="Q62" i="19"/>
  <c r="O62" i="19"/>
  <c r="Q70" i="19"/>
  <c r="O70" i="19"/>
  <c r="Q74" i="19"/>
  <c r="O74" i="19"/>
  <c r="Q78" i="19"/>
  <c r="O78" i="19"/>
  <c r="Q82" i="19"/>
  <c r="O82" i="19"/>
  <c r="Q90" i="19"/>
  <c r="O90" i="19"/>
  <c r="Q94" i="19"/>
  <c r="O94" i="19"/>
  <c r="Q98" i="19"/>
  <c r="O98" i="19"/>
  <c r="Q102" i="19"/>
  <c r="O102" i="19"/>
  <c r="Q72" i="19"/>
  <c r="O72" i="19"/>
  <c r="Q80" i="19"/>
  <c r="O80" i="19"/>
  <c r="Q29" i="19"/>
  <c r="O29" i="19"/>
  <c r="Q44" i="19"/>
  <c r="O44" i="19"/>
  <c r="Q60" i="19"/>
  <c r="O60" i="19"/>
  <c r="Q21" i="19"/>
  <c r="O21" i="19"/>
  <c r="Q37" i="19"/>
  <c r="O37" i="19"/>
  <c r="Q14" i="19"/>
  <c r="O14" i="19"/>
  <c r="Q36" i="19"/>
  <c r="O36" i="19"/>
  <c r="Q68" i="19"/>
  <c r="O68" i="19"/>
  <c r="Q17" i="19"/>
  <c r="O17" i="19"/>
  <c r="Q15" i="19"/>
  <c r="O15" i="19"/>
  <c r="Q19" i="19"/>
  <c r="O19" i="19"/>
  <c r="Q31" i="19"/>
  <c r="O31" i="19"/>
  <c r="Q35" i="19"/>
  <c r="O35" i="19"/>
  <c r="Q39" i="19"/>
  <c r="O39" i="19"/>
  <c r="Q43" i="19"/>
  <c r="O43" i="19"/>
  <c r="Q47" i="19"/>
  <c r="Q51" i="19"/>
  <c r="O51" i="19"/>
  <c r="Q75" i="19"/>
  <c r="O75" i="19"/>
  <c r="Q79" i="19"/>
  <c r="O79" i="19"/>
  <c r="Q83" i="19"/>
  <c r="O83" i="19"/>
  <c r="Q87" i="19"/>
  <c r="O87" i="19"/>
  <c r="Q95" i="19"/>
  <c r="O95" i="19"/>
  <c r="Q99" i="19"/>
  <c r="O99" i="19"/>
  <c r="Q103" i="19"/>
  <c r="O103" i="19"/>
  <c r="V48" i="19"/>
  <c r="V37" i="19"/>
  <c r="V27" i="19"/>
  <c r="V21" i="19"/>
  <c r="V55" i="19"/>
  <c r="V66" i="19"/>
  <c r="V77" i="19"/>
  <c r="V93" i="19"/>
  <c r="V103" i="19"/>
  <c r="V52" i="19"/>
  <c r="V47" i="19"/>
  <c r="V41" i="19"/>
  <c r="V36" i="19"/>
  <c r="V31" i="19"/>
  <c r="V25" i="19"/>
  <c r="V20" i="19"/>
  <c r="V15" i="19"/>
  <c r="V57" i="19"/>
  <c r="V62" i="19"/>
  <c r="V67" i="19"/>
  <c r="V73" i="19"/>
  <c r="V78" i="19"/>
  <c r="V83" i="19"/>
  <c r="V89" i="19"/>
  <c r="V94" i="19"/>
  <c r="V99" i="19"/>
  <c r="V105" i="19"/>
  <c r="V13" i="19"/>
  <c r="V43" i="19"/>
  <c r="V32" i="19"/>
  <c r="V16" i="19"/>
  <c r="V61" i="19"/>
  <c r="V71" i="19"/>
  <c r="V82" i="19"/>
  <c r="V87" i="19"/>
  <c r="V98" i="19"/>
  <c r="V51" i="19"/>
  <c r="V45" i="19"/>
  <c r="V40" i="19"/>
  <c r="V35" i="19"/>
  <c r="V29" i="19"/>
  <c r="V24" i="19"/>
  <c r="V19" i="19"/>
  <c r="V53" i="19"/>
  <c r="V58" i="19"/>
  <c r="V63" i="19"/>
  <c r="V69" i="19"/>
  <c r="V74" i="19"/>
  <c r="V79" i="19"/>
  <c r="V85" i="19"/>
  <c r="V90" i="19"/>
  <c r="V95" i="19"/>
  <c r="V101" i="19"/>
  <c r="V106" i="19"/>
  <c r="V49" i="19"/>
  <c r="V44" i="19"/>
  <c r="V39" i="19"/>
  <c r="V33" i="19"/>
  <c r="V28" i="19"/>
  <c r="V23" i="19"/>
  <c r="V17" i="19"/>
  <c r="V54" i="19"/>
  <c r="V59" i="19"/>
  <c r="V65" i="19"/>
  <c r="V70" i="19"/>
  <c r="V75" i="19"/>
  <c r="V81" i="19"/>
  <c r="V86" i="19"/>
  <c r="V91" i="19"/>
  <c r="V97" i="19"/>
  <c r="V102" i="19"/>
  <c r="V107" i="19"/>
  <c r="V50" i="19"/>
  <c r="V46" i="19"/>
  <c r="V42" i="19"/>
  <c r="V38" i="19"/>
  <c r="V34" i="19"/>
  <c r="V30" i="19"/>
  <c r="V26" i="19"/>
  <c r="V22" i="19"/>
  <c r="V18" i="19"/>
  <c r="V14" i="19"/>
  <c r="V56" i="19"/>
  <c r="V60" i="19"/>
  <c r="V64" i="19"/>
  <c r="V68" i="19"/>
  <c r="V72" i="19"/>
  <c r="V76" i="19"/>
  <c r="V80" i="19"/>
  <c r="V84" i="19"/>
  <c r="V88" i="19"/>
  <c r="V92" i="19"/>
  <c r="V96" i="19"/>
  <c r="V100" i="19"/>
  <c r="V104" i="19"/>
  <c r="J49" i="19"/>
  <c r="J51" i="19"/>
  <c r="J38" i="19"/>
  <c r="J19" i="19"/>
  <c r="J24" i="19"/>
  <c r="J26" i="19"/>
  <c r="Q66" i="19"/>
  <c r="J16" i="19"/>
  <c r="J30" i="19"/>
  <c r="J47" i="19"/>
  <c r="O47" i="19" s="1"/>
  <c r="J48" i="19"/>
  <c r="J18" i="19"/>
  <c r="J44" i="19"/>
  <c r="J46" i="19"/>
  <c r="Q32" i="19"/>
  <c r="Q27" i="19"/>
  <c r="J40" i="19"/>
  <c r="J50" i="19"/>
  <c r="Q105" i="19"/>
  <c r="Q85" i="19"/>
  <c r="Q49" i="19"/>
  <c r="J31" i="19"/>
  <c r="J32" i="19"/>
  <c r="J33" i="19"/>
  <c r="J34" i="19"/>
  <c r="J37" i="19"/>
  <c r="J42" i="19"/>
  <c r="J45" i="19"/>
  <c r="J52" i="19"/>
  <c r="J63"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101" i="19"/>
  <c r="J103" i="19"/>
  <c r="J104" i="19"/>
  <c r="Q34" i="19"/>
  <c r="J43" i="19"/>
  <c r="J54" i="19"/>
  <c r="J56" i="19"/>
  <c r="J58" i="19"/>
  <c r="J60" i="19"/>
  <c r="J62" i="19"/>
  <c r="J64" i="19"/>
  <c r="J105" i="19"/>
  <c r="J108" i="19"/>
  <c r="J23" i="19"/>
  <c r="J27" i="19"/>
  <c r="J35" i="19"/>
  <c r="J41" i="19"/>
  <c r="J15" i="19"/>
  <c r="J21" i="19"/>
  <c r="J53" i="19"/>
  <c r="J55" i="19"/>
  <c r="J57" i="19"/>
  <c r="J59" i="19"/>
  <c r="J61" i="19"/>
  <c r="J102" i="19"/>
  <c r="J106" i="19"/>
  <c r="J107" i="19"/>
  <c r="J14" i="19"/>
  <c r="J17" i="19"/>
  <c r="J20" i="19"/>
  <c r="J22" i="19"/>
  <c r="J25" i="19"/>
  <c r="J28" i="19"/>
  <c r="J29" i="19"/>
  <c r="J36" i="19"/>
  <c r="J39" i="19"/>
  <c r="J13" i="19"/>
  <c r="T29" i="19" l="1"/>
  <c r="S29" i="19"/>
  <c r="P29" i="19"/>
  <c r="S86" i="19"/>
  <c r="T86" i="19"/>
  <c r="P86" i="19"/>
  <c r="T14" i="19"/>
  <c r="P14" i="19"/>
  <c r="S14" i="19"/>
  <c r="S105" i="19"/>
  <c r="T105" i="19"/>
  <c r="P105" i="19"/>
  <c r="P96" i="19"/>
  <c r="S96" i="19"/>
  <c r="T96" i="19"/>
  <c r="T80" i="19"/>
  <c r="P80" i="19"/>
  <c r="S80" i="19"/>
  <c r="T63" i="19"/>
  <c r="P63" i="19"/>
  <c r="S63" i="19"/>
  <c r="S40" i="19"/>
  <c r="T40" i="19"/>
  <c r="P40" i="19"/>
  <c r="T107" i="19"/>
  <c r="P107" i="19"/>
  <c r="S107" i="19"/>
  <c r="P64" i="19"/>
  <c r="S64" i="19"/>
  <c r="T64" i="19"/>
  <c r="T95" i="19"/>
  <c r="P95" i="19"/>
  <c r="S95" i="19"/>
  <c r="T79" i="19"/>
  <c r="P79" i="19"/>
  <c r="S79" i="19"/>
  <c r="T52" i="19"/>
  <c r="S52" i="19"/>
  <c r="P52" i="19"/>
  <c r="T106" i="19"/>
  <c r="P106" i="19"/>
  <c r="S106" i="19"/>
  <c r="P62" i="19"/>
  <c r="T62" i="19"/>
  <c r="S62" i="19"/>
  <c r="T94" i="19"/>
  <c r="P94" i="19"/>
  <c r="S94" i="19"/>
  <c r="T78" i="19"/>
  <c r="S78" i="19"/>
  <c r="P78" i="19"/>
  <c r="T45" i="19"/>
  <c r="P45" i="19"/>
  <c r="S45" i="19"/>
  <c r="P102" i="19"/>
  <c r="S102" i="19"/>
  <c r="T102" i="19"/>
  <c r="T60" i="19"/>
  <c r="P60" i="19"/>
  <c r="S60" i="19"/>
  <c r="P93" i="19"/>
  <c r="S93" i="19"/>
  <c r="T93" i="19"/>
  <c r="T77" i="19"/>
  <c r="P77" i="19"/>
  <c r="S77" i="19"/>
  <c r="T42" i="19"/>
  <c r="P42" i="19"/>
  <c r="S42" i="19"/>
  <c r="T26" i="19"/>
  <c r="P26" i="19"/>
  <c r="S26" i="19"/>
  <c r="P61" i="19"/>
  <c r="S61" i="19"/>
  <c r="T61" i="19"/>
  <c r="T58" i="19"/>
  <c r="P58" i="19"/>
  <c r="S58" i="19"/>
  <c r="P92" i="19"/>
  <c r="T92" i="19"/>
  <c r="S92" i="19"/>
  <c r="T76" i="19"/>
  <c r="P76" i="19"/>
  <c r="S76" i="19"/>
  <c r="P37" i="19"/>
  <c r="T37" i="19"/>
  <c r="S37" i="19"/>
  <c r="T24" i="19"/>
  <c r="P24" i="19"/>
  <c r="S24" i="19"/>
  <c r="T59" i="19"/>
  <c r="P59" i="19"/>
  <c r="S59" i="19"/>
  <c r="S56" i="19"/>
  <c r="T56" i="19"/>
  <c r="P56" i="19"/>
  <c r="T91" i="19"/>
  <c r="P91" i="19"/>
  <c r="S91" i="19"/>
  <c r="T75" i="19"/>
  <c r="P75" i="19"/>
  <c r="S75" i="19"/>
  <c r="T34" i="19"/>
  <c r="P34" i="19"/>
  <c r="S34" i="19"/>
  <c r="S46" i="19"/>
  <c r="P46" i="19"/>
  <c r="T46" i="19"/>
  <c r="T19" i="19"/>
  <c r="P19" i="19"/>
  <c r="S19" i="19"/>
  <c r="S57" i="19"/>
  <c r="T57" i="19"/>
  <c r="P57" i="19"/>
  <c r="P54" i="19"/>
  <c r="S54" i="19"/>
  <c r="T54" i="19"/>
  <c r="T90" i="19"/>
  <c r="P90" i="19"/>
  <c r="S90" i="19"/>
  <c r="T74" i="19"/>
  <c r="P74" i="19"/>
  <c r="S74" i="19"/>
  <c r="T33" i="19"/>
  <c r="P33" i="19"/>
  <c r="S33" i="19"/>
  <c r="S44" i="19"/>
  <c r="T44" i="19"/>
  <c r="P44" i="19"/>
  <c r="P13" i="19"/>
  <c r="T13" i="19"/>
  <c r="S13" i="19"/>
  <c r="T55" i="19"/>
  <c r="S55" i="19"/>
  <c r="P55" i="19"/>
  <c r="T43" i="19"/>
  <c r="P43" i="19"/>
  <c r="S43" i="19"/>
  <c r="S89" i="19"/>
  <c r="T89" i="19"/>
  <c r="P89" i="19"/>
  <c r="T73" i="19"/>
  <c r="P73" i="19"/>
  <c r="S73" i="19"/>
  <c r="P32" i="19"/>
  <c r="S32" i="19"/>
  <c r="T32" i="19"/>
  <c r="T18" i="19"/>
  <c r="P18" i="19"/>
  <c r="S18" i="19"/>
  <c r="T38" i="19"/>
  <c r="P38" i="19"/>
  <c r="S38" i="19"/>
  <c r="T39" i="19"/>
  <c r="P39" i="19"/>
  <c r="S39" i="19"/>
  <c r="S53" i="19"/>
  <c r="T53" i="19"/>
  <c r="P53" i="19"/>
  <c r="S88" i="19"/>
  <c r="P88" i="19"/>
  <c r="T88" i="19"/>
  <c r="T72" i="19"/>
  <c r="P72" i="19"/>
  <c r="S72" i="19"/>
  <c r="T31" i="19"/>
  <c r="P31" i="19"/>
  <c r="S31" i="19"/>
  <c r="T51" i="19"/>
  <c r="P51" i="19"/>
  <c r="S51" i="19"/>
  <c r="T36" i="19"/>
  <c r="P36" i="19"/>
  <c r="S36" i="19"/>
  <c r="T21" i="19"/>
  <c r="P21" i="19"/>
  <c r="S21" i="19"/>
  <c r="T104" i="19"/>
  <c r="S104" i="19"/>
  <c r="P104" i="19"/>
  <c r="T87" i="19"/>
  <c r="S87" i="19"/>
  <c r="P87" i="19"/>
  <c r="P71" i="19"/>
  <c r="T71" i="19"/>
  <c r="S71" i="19"/>
  <c r="S49" i="19"/>
  <c r="T49" i="19"/>
  <c r="P49" i="19"/>
  <c r="P103" i="19"/>
  <c r="S103" i="19"/>
  <c r="T103" i="19"/>
  <c r="T70" i="19"/>
  <c r="P70" i="19"/>
  <c r="S70" i="19"/>
  <c r="T48" i="19"/>
  <c r="P48" i="19"/>
  <c r="S48" i="19"/>
  <c r="T28" i="19"/>
  <c r="P28" i="19"/>
  <c r="S28" i="19"/>
  <c r="S41" i="19"/>
  <c r="P41" i="19"/>
  <c r="T41" i="19"/>
  <c r="P101" i="19"/>
  <c r="S101" i="19"/>
  <c r="T101" i="19"/>
  <c r="T69" i="19"/>
  <c r="P69" i="19"/>
  <c r="S69" i="19"/>
  <c r="P47" i="19"/>
  <c r="S47" i="19"/>
  <c r="T47" i="19"/>
  <c r="T25" i="19"/>
  <c r="P25" i="19"/>
  <c r="S25" i="19"/>
  <c r="T100" i="19"/>
  <c r="P100" i="19"/>
  <c r="S100" i="19"/>
  <c r="T84" i="19"/>
  <c r="P84" i="19"/>
  <c r="S84" i="19"/>
  <c r="T30" i="19"/>
  <c r="P30" i="19"/>
  <c r="S30" i="19"/>
  <c r="S22" i="19"/>
  <c r="T22" i="19"/>
  <c r="P22" i="19"/>
  <c r="T27" i="19"/>
  <c r="P27" i="19"/>
  <c r="S27" i="19"/>
  <c r="T99" i="19"/>
  <c r="P99" i="19"/>
  <c r="S99" i="19"/>
  <c r="T83" i="19"/>
  <c r="P83" i="19"/>
  <c r="S83" i="19"/>
  <c r="S67" i="19"/>
  <c r="T67" i="19"/>
  <c r="P67" i="19"/>
  <c r="T16" i="19"/>
  <c r="P16" i="19"/>
  <c r="S16" i="19"/>
  <c r="T20" i="19"/>
  <c r="S20" i="19"/>
  <c r="P20" i="19"/>
  <c r="T23" i="19"/>
  <c r="S23" i="19"/>
  <c r="P23" i="19"/>
  <c r="T98" i="19"/>
  <c r="P98" i="19"/>
  <c r="S98" i="19"/>
  <c r="S82" i="19"/>
  <c r="T82" i="19"/>
  <c r="P82" i="19"/>
  <c r="T66" i="19"/>
  <c r="P66" i="19"/>
  <c r="S66" i="19"/>
  <c r="T15" i="19"/>
  <c r="P15" i="19"/>
  <c r="S15" i="19"/>
  <c r="T85" i="19"/>
  <c r="P85" i="19"/>
  <c r="S85" i="19"/>
  <c r="S35" i="19"/>
  <c r="T35" i="19"/>
  <c r="P35" i="19"/>
  <c r="T68" i="19"/>
  <c r="P68" i="19"/>
  <c r="S68" i="19"/>
  <c r="S17" i="19"/>
  <c r="T17" i="19"/>
  <c r="P17" i="19"/>
  <c r="T108" i="19"/>
  <c r="S108" i="19"/>
  <c r="P108" i="19"/>
  <c r="T97" i="19"/>
  <c r="S97" i="19"/>
  <c r="P97" i="19"/>
  <c r="P81" i="19"/>
  <c r="S81" i="19"/>
  <c r="T81" i="19"/>
  <c r="T65" i="19"/>
  <c r="P65" i="19"/>
  <c r="S65" i="19"/>
  <c r="S50" i="19"/>
  <c r="T50" i="19"/>
  <c r="P50" i="19"/>
  <c r="Q18" i="19"/>
  <c r="Q38" i="19"/>
  <c r="Q50" i="19"/>
  <c r="Q86" i="19"/>
  <c r="Q106" i="19"/>
  <c r="Q13" i="19"/>
  <c r="Q23" i="19"/>
  <c r="Q55" i="19"/>
  <c r="Q59" i="19"/>
  <c r="Q63" i="19"/>
  <c r="Q67" i="19"/>
  <c r="Q71" i="19"/>
  <c r="Q91" i="19"/>
  <c r="Q107" i="19"/>
  <c r="Q101" i="19"/>
  <c r="Q28" i="19"/>
  <c r="Q76" i="19"/>
  <c r="Q96" i="19"/>
  <c r="Q108" i="19"/>
  <c r="Q33" i="19"/>
  <c r="Q45" i="19"/>
  <c r="Q81" i="19"/>
  <c r="R86" i="19" l="1"/>
  <c r="W86" i="19" s="1"/>
  <c r="R40" i="19"/>
  <c r="W40" i="19" s="1"/>
  <c r="R96" i="19"/>
  <c r="W96" i="19" s="1"/>
  <c r="R64" i="19"/>
  <c r="W64" i="19" s="1"/>
  <c r="R52" i="19"/>
  <c r="W52" i="19" s="1"/>
  <c r="R63" i="19"/>
  <c r="W63" i="19" s="1"/>
  <c r="R106" i="19"/>
  <c r="W106" i="19" s="1"/>
  <c r="R102" i="19"/>
  <c r="W102" i="19" s="1"/>
  <c r="R14" i="19"/>
  <c r="W14" i="19" s="1"/>
  <c r="R29" i="19"/>
  <c r="W29" i="19" s="1"/>
  <c r="R79" i="19"/>
  <c r="W79" i="19" s="1"/>
  <c r="R107" i="19"/>
  <c r="W107" i="19" s="1"/>
  <c r="R93" i="19"/>
  <c r="W93" i="19" s="1"/>
  <c r="R98" i="19"/>
  <c r="W98" i="19" s="1"/>
  <c r="R76" i="19"/>
  <c r="W76" i="19" s="1"/>
  <c r="R17" i="19"/>
  <c r="W17" i="19" s="1"/>
  <c r="R56" i="19"/>
  <c r="W56" i="19" s="1"/>
  <c r="R19" i="19"/>
  <c r="W19" i="19" s="1"/>
  <c r="R92" i="19"/>
  <c r="W92" i="19" s="1"/>
  <c r="R94" i="19"/>
  <c r="W94" i="19" s="1"/>
  <c r="R60" i="19"/>
  <c r="W60" i="19" s="1"/>
  <c r="R82" i="19"/>
  <c r="W82" i="19" s="1"/>
  <c r="R61" i="19"/>
  <c r="W61" i="19" s="1"/>
  <c r="R26" i="19"/>
  <c r="W26" i="19" s="1"/>
  <c r="R77" i="19"/>
  <c r="W77" i="19" s="1"/>
  <c r="R78" i="19"/>
  <c r="W78" i="19" s="1"/>
  <c r="R21" i="19"/>
  <c r="W21" i="19" s="1"/>
  <c r="R22" i="19"/>
  <c r="W22" i="19" s="1"/>
  <c r="R49" i="19"/>
  <c r="W49" i="19" s="1"/>
  <c r="R59" i="19"/>
  <c r="W59" i="19" s="1"/>
  <c r="R24" i="19"/>
  <c r="W24" i="19" s="1"/>
  <c r="R105" i="19"/>
  <c r="W105" i="19" s="1"/>
  <c r="R46" i="19"/>
  <c r="R34" i="19"/>
  <c r="W34" i="19" s="1"/>
  <c r="R87" i="19"/>
  <c r="W87" i="19" s="1"/>
  <c r="R100" i="19"/>
  <c r="W100" i="19" s="1"/>
  <c r="R67" i="19"/>
  <c r="W67" i="19" s="1"/>
  <c r="R33" i="19"/>
  <c r="W33" i="19" s="1"/>
  <c r="R31" i="19"/>
  <c r="W31" i="19" s="1"/>
  <c r="R91" i="19"/>
  <c r="W91" i="19" s="1"/>
  <c r="R95" i="19"/>
  <c r="W95" i="19" s="1"/>
  <c r="R101" i="19"/>
  <c r="W101" i="19" s="1"/>
  <c r="R74" i="19"/>
  <c r="W74" i="19" s="1"/>
  <c r="R55" i="19"/>
  <c r="W55" i="19" s="1"/>
  <c r="R57" i="19"/>
  <c r="W57" i="19" s="1"/>
  <c r="R42" i="19"/>
  <c r="W42" i="19" s="1"/>
  <c r="R58" i="19"/>
  <c r="W58" i="19" s="1"/>
  <c r="R85" i="19"/>
  <c r="W85" i="19" s="1"/>
  <c r="R41" i="19"/>
  <c r="W41" i="19" s="1"/>
  <c r="R71" i="19"/>
  <c r="W71" i="19" s="1"/>
  <c r="R48" i="19"/>
  <c r="R25" i="19"/>
  <c r="W25" i="19" s="1"/>
  <c r="R70" i="19"/>
  <c r="W70" i="19" s="1"/>
  <c r="R97" i="19"/>
  <c r="W97" i="19" s="1"/>
  <c r="R51" i="19"/>
  <c r="W51" i="19" s="1"/>
  <c r="R81" i="19"/>
  <c r="W81" i="19" s="1"/>
  <c r="R43" i="19"/>
  <c r="W43" i="19" s="1"/>
  <c r="R39" i="19"/>
  <c r="W39" i="19" s="1"/>
  <c r="R35" i="19"/>
  <c r="W35" i="19" s="1"/>
  <c r="R62" i="19"/>
  <c r="W62" i="19" s="1"/>
  <c r="R90" i="19"/>
  <c r="W90" i="19" s="1"/>
  <c r="R75" i="19"/>
  <c r="W75" i="19" s="1"/>
  <c r="R37" i="19"/>
  <c r="W37" i="19" s="1"/>
  <c r="R54" i="19"/>
  <c r="W54" i="19" s="1"/>
  <c r="R80" i="19"/>
  <c r="W80" i="19" s="1"/>
  <c r="R13" i="19"/>
  <c r="W13" i="19" s="1"/>
  <c r="R44" i="19"/>
  <c r="W44" i="19" s="1"/>
  <c r="R66" i="19"/>
  <c r="W66" i="19" s="1"/>
  <c r="R104" i="19"/>
  <c r="W104" i="19" s="1"/>
  <c r="R50" i="19"/>
  <c r="R20" i="19"/>
  <c r="W20" i="19" s="1"/>
  <c r="R16" i="19"/>
  <c r="W16" i="19" s="1"/>
  <c r="R89" i="19"/>
  <c r="W89" i="19" s="1"/>
  <c r="R73" i="19"/>
  <c r="W73" i="19" s="1"/>
  <c r="R38" i="19"/>
  <c r="W38" i="19" s="1"/>
  <c r="R84" i="19"/>
  <c r="W84" i="19" s="1"/>
  <c r="R103" i="19"/>
  <c r="W103" i="19" s="1"/>
  <c r="R30" i="19"/>
  <c r="W30" i="19" s="1"/>
  <c r="R72" i="19"/>
  <c r="W72" i="19" s="1"/>
  <c r="R99" i="19"/>
  <c r="W99" i="19" s="1"/>
  <c r="R23" i="19"/>
  <c r="W23" i="19" s="1"/>
  <c r="R68" i="19"/>
  <c r="W68" i="19" s="1"/>
  <c r="R18" i="19"/>
  <c r="W18" i="19" s="1"/>
  <c r="R36" i="19"/>
  <c r="W36" i="19" s="1"/>
  <c r="R28" i="19"/>
  <c r="W28" i="19" s="1"/>
  <c r="R47" i="19"/>
  <c r="R88" i="19"/>
  <c r="W88" i="19" s="1"/>
  <c r="R69" i="19"/>
  <c r="W69" i="19" s="1"/>
  <c r="R65" i="19"/>
  <c r="W65" i="19" s="1"/>
  <c r="R53" i="19"/>
  <c r="W53" i="19" s="1"/>
  <c r="R15" i="19"/>
  <c r="W15" i="19" s="1"/>
  <c r="R45" i="19"/>
  <c r="R83" i="19"/>
  <c r="W83" i="19" s="1"/>
  <c r="R27" i="19"/>
  <c r="W27" i="19" s="1"/>
  <c r="R32" i="19"/>
  <c r="W32" i="19" s="1"/>
  <c r="R108" i="19"/>
  <c r="W108" i="19" s="1"/>
  <c r="U10" i="19" l="1"/>
  <c r="U8" i="19"/>
  <c r="U2" i="19"/>
  <c r="U3" i="19"/>
  <c r="U4" i="19"/>
  <c r="U6" i="19"/>
  <c r="U5" i="19"/>
  <c r="Y49" i="19"/>
  <c r="W47" i="19"/>
  <c r="Y47" i="19"/>
  <c r="W50" i="19"/>
  <c r="Y50" i="19"/>
  <c r="W46" i="19"/>
  <c r="Y46" i="19"/>
  <c r="W45" i="19"/>
  <c r="Y45" i="19"/>
  <c r="W48" i="19"/>
  <c r="Y48" i="19"/>
  <c r="U9" i="19" l="1"/>
  <c r="AB6" i="5" l="1"/>
  <c r="AB5" i="5"/>
  <c r="AB7" i="5"/>
  <c r="AB8" i="5"/>
  <c r="AF8" i="5" s="1"/>
  <c r="K10" i="5" s="1"/>
  <c r="AB4" i="5"/>
  <c r="Y68" i="19" l="1"/>
  <c r="Y70" i="19"/>
  <c r="Y90" i="19"/>
  <c r="Y89" i="19"/>
  <c r="AF4" i="5"/>
  <c r="K6" i="5" s="1"/>
  <c r="AF7" i="5"/>
  <c r="K9" i="5" s="1"/>
  <c r="Y88" i="19"/>
  <c r="Y86" i="19"/>
  <c r="Y87" i="19"/>
  <c r="AF6" i="5"/>
  <c r="K8" i="5" s="1"/>
  <c r="AF5" i="5"/>
  <c r="K7" i="5" s="1"/>
  <c r="Y69" i="19"/>
  <c r="Y67" i="19"/>
  <c r="K13" i="5" l="1"/>
  <c r="K15" i="5" l="1"/>
  <c r="K14" i="5"/>
</calcChain>
</file>

<file path=xl/sharedStrings.xml><?xml version="1.0" encoding="utf-8"?>
<sst xmlns="http://schemas.openxmlformats.org/spreadsheetml/2006/main" count="3253" uniqueCount="382">
  <si>
    <t>Port Dues</t>
  </si>
  <si>
    <t>Service</t>
  </si>
  <si>
    <t>Tariff</t>
  </si>
  <si>
    <t>Pilotage</t>
  </si>
  <si>
    <t>Mooring</t>
  </si>
  <si>
    <t>Row Labels</t>
  </si>
  <si>
    <t>SERVICE</t>
  </si>
  <si>
    <t>Berth Hire</t>
  </si>
  <si>
    <t>Min Charges</t>
  </si>
  <si>
    <t>Tariff Database : Mundra</t>
  </si>
  <si>
    <t>Tariff (in USD)</t>
  </si>
  <si>
    <t>Min (USD)</t>
  </si>
  <si>
    <t>CURR</t>
  </si>
  <si>
    <t>Remarks</t>
  </si>
  <si>
    <t>Status</t>
  </si>
  <si>
    <t>Port Dues (per GT)</t>
  </si>
  <si>
    <t>USD</t>
  </si>
  <si>
    <t>Verified</t>
  </si>
  <si>
    <t>Pilotage (for less than 10000 GT)</t>
  </si>
  <si>
    <t>Min - upto 3000 Gt</t>
  </si>
  <si>
    <t>Min for -3001 to 15000 GT</t>
  </si>
  <si>
    <t>Pilotage (for 10000 GT and above)</t>
  </si>
  <si>
    <t>Min for -15001 GT and above</t>
  </si>
  <si>
    <t>Berth Hire (GT per Hour)</t>
  </si>
  <si>
    <t>min for per day / 24 hours</t>
  </si>
  <si>
    <t>Anchorage (in hours)</t>
  </si>
  <si>
    <t>Tug for Transportation (in hours)</t>
  </si>
  <si>
    <t>For maximum 5 hours and $ 440 for every subsequent hour thereafter.</t>
  </si>
  <si>
    <t>Additional Tug for pilotage (in hours)</t>
  </si>
  <si>
    <t>per hour</t>
  </si>
  <si>
    <t>Gangway (per Calender Day)</t>
  </si>
  <si>
    <t>per calender day</t>
  </si>
  <si>
    <t>Fresh water at Berth</t>
  </si>
  <si>
    <t>per MT</t>
  </si>
  <si>
    <t>Shore Mooring Winch Charges (per Day)</t>
  </si>
  <si>
    <t>No Service</t>
  </si>
  <si>
    <t>NA</t>
  </si>
  <si>
    <t>Skip</t>
  </si>
  <si>
    <t>Mooring Ropes (per rope/per calander day)</t>
  </si>
  <si>
    <t>Shore Crane Charges (per 2hrs. slab)</t>
  </si>
  <si>
    <t>INR</t>
  </si>
  <si>
    <t>2 HOURS SLAB</t>
  </si>
  <si>
    <t>Garbage Collection at Berth</t>
  </si>
  <si>
    <t>per collection / per trip</t>
  </si>
  <si>
    <t>Hot work permission (for hours)</t>
  </si>
  <si>
    <t>per 4 hour slab</t>
  </si>
  <si>
    <t>Hydra (for hours)</t>
  </si>
  <si>
    <t>Pipeline Charges (per MT)</t>
  </si>
  <si>
    <t>per GT for 15 days</t>
  </si>
  <si>
    <t>Mooring Charges</t>
  </si>
  <si>
    <t>Port Environment &amp; Safety</t>
  </si>
  <si>
    <t>Tariff Database : Hazira</t>
  </si>
  <si>
    <t>Port Dues &amp; Pilotage Charges for LNGC</t>
  </si>
  <si>
    <t>Pilotage (per GT)</t>
  </si>
  <si>
    <t>Port tariff for Non LNG Terminal</t>
  </si>
  <si>
    <t>Pilotage (Other Vessels)</t>
  </si>
  <si>
    <t>Upto 3,000 GRT</t>
  </si>
  <si>
    <t>3,001 – 15,000 GRT</t>
  </si>
  <si>
    <t>15,001 – 60,000 GRT</t>
  </si>
  <si>
    <t>Pilotage (Container Vessels)</t>
  </si>
  <si>
    <t>Any GT</t>
  </si>
  <si>
    <t>Pilotage (Tanker Vessels)</t>
  </si>
  <si>
    <t>upto 15,000 GRT</t>
  </si>
  <si>
    <t>15,001 – 25000 GRT</t>
  </si>
  <si>
    <t>Above 25000 GT</t>
  </si>
  <si>
    <t>except for Tanker vessels less than 25000 Gt</t>
  </si>
  <si>
    <t>per GT per hour</t>
  </si>
  <si>
    <t>per hour per tug</t>
  </si>
  <si>
    <t>Per calendar day</t>
  </si>
  <si>
    <t>Rs. per hour</t>
  </si>
  <si>
    <t>per collection per trip</t>
  </si>
  <si>
    <t>Rs. Per MT</t>
  </si>
  <si>
    <t>per 15 days</t>
  </si>
  <si>
    <t>Berth Hire -for Tankers</t>
  </si>
  <si>
    <t>MUNDRA</t>
  </si>
  <si>
    <t>VESSEL TYPE</t>
  </si>
  <si>
    <t>DAHEJ</t>
  </si>
  <si>
    <t>Tariff Database : Dahej</t>
  </si>
  <si>
    <t>per Calender Day</t>
  </si>
  <si>
    <t>Compulsory for 1st 24 hours after berthing for the vessels having LOA&gt;200m and / or draft &gt; 12.0m</t>
  </si>
  <si>
    <t>per Rope per Calender day</t>
  </si>
  <si>
    <t>Per 2 hour Slab or Part Thereof(Shore crane will be provided as per availability)</t>
  </si>
  <si>
    <t>per collection per Trip</t>
  </si>
  <si>
    <t>(Coal and Project Cargo)</t>
  </si>
  <si>
    <t>PORT</t>
  </si>
  <si>
    <t>upto 10000 gt</t>
  </si>
  <si>
    <t>10,001 to 30000 gt</t>
  </si>
  <si>
    <t>above 30k</t>
  </si>
  <si>
    <t>HAZIRA</t>
  </si>
  <si>
    <t>DHAMRA</t>
  </si>
  <si>
    <t>KATTUPALLI</t>
  </si>
  <si>
    <t>Tariff Database : Dhamra</t>
  </si>
  <si>
    <t>Applicable to all vessels below 60000 GT.</t>
  </si>
  <si>
    <t>Applicable to all vessels of 60000 GT and above.</t>
  </si>
  <si>
    <t>per 30 mins slab</t>
  </si>
  <si>
    <t>Per Rope/ Per Calendar Day</t>
  </si>
  <si>
    <t>30 DAYS VALID</t>
  </si>
  <si>
    <t>DIGHI</t>
  </si>
  <si>
    <t>TUNA</t>
  </si>
  <si>
    <t>GOA</t>
  </si>
  <si>
    <t>ENNORE</t>
  </si>
  <si>
    <t>Vessel GT</t>
  </si>
  <si>
    <t>CONTAINER</t>
  </si>
  <si>
    <t>FOREIGN</t>
  </si>
  <si>
    <t>VESSEL RUN</t>
  </si>
  <si>
    <t>Tariff Database : Kattupali</t>
  </si>
  <si>
    <r>
      <rPr>
        <b/>
        <i/>
        <sz val="10"/>
        <rFont val="Adani Regular"/>
      </rPr>
      <t>INR</t>
    </r>
    <r>
      <rPr>
        <sz val="10"/>
        <rFont val="Adani Regular"/>
      </rPr>
      <t xml:space="preserve"> for Normal Vessels + 10% surcharge</t>
    </r>
  </si>
  <si>
    <r>
      <rPr>
        <b/>
        <i/>
        <sz val="10"/>
        <rFont val="Adani Regular"/>
      </rPr>
      <t>INR</t>
    </r>
    <r>
      <rPr>
        <sz val="10"/>
        <rFont val="Adani Regular"/>
      </rPr>
      <t xml:space="preserve"> for Sailing Vessels + 10% surcharge</t>
    </r>
  </si>
  <si>
    <t>Upto 3000 GT</t>
  </si>
  <si>
    <t>3001 to 10000 GT</t>
  </si>
  <si>
    <r>
      <t>10001 to</t>
    </r>
    <r>
      <rPr>
        <b/>
        <u/>
        <sz val="10"/>
        <rFont val="Adani Regular"/>
      </rPr>
      <t xml:space="preserve"> 15000</t>
    </r>
    <r>
      <rPr>
        <sz val="10"/>
        <rFont val="Adani Regular"/>
      </rPr>
      <t xml:space="preserve"> GT</t>
    </r>
  </si>
  <si>
    <r>
      <rPr>
        <b/>
        <u/>
        <sz val="10"/>
        <rFont val="Adani Regular"/>
      </rPr>
      <t>15001</t>
    </r>
    <r>
      <rPr>
        <sz val="10"/>
        <rFont val="Adani Regular"/>
      </rPr>
      <t xml:space="preserve"> to 30000 GT</t>
    </r>
  </si>
  <si>
    <t>30001 to 60000 GT</t>
  </si>
  <si>
    <t>Above 60000 GT</t>
  </si>
  <si>
    <t>Upto to 3000 GT</t>
  </si>
  <si>
    <r>
      <t xml:space="preserve">10000 to </t>
    </r>
    <r>
      <rPr>
        <b/>
        <u/>
        <sz val="10"/>
        <rFont val="Adani Regular"/>
      </rPr>
      <t>15000</t>
    </r>
    <r>
      <rPr>
        <sz val="10"/>
        <rFont val="Adani Regular"/>
      </rPr>
      <t xml:space="preserve"> GT</t>
    </r>
  </si>
  <si>
    <r>
      <rPr>
        <b/>
        <u/>
        <sz val="10"/>
        <rFont val="Adani Regular"/>
      </rPr>
      <t>15000</t>
    </r>
    <r>
      <rPr>
        <sz val="10"/>
        <rFont val="Adani Regular"/>
      </rPr>
      <t xml:space="preserve"> to 30000 GT</t>
    </r>
  </si>
  <si>
    <t>30000 to 60000 GT</t>
  </si>
  <si>
    <t>Foreign going, per GT per Hour</t>
  </si>
  <si>
    <r>
      <rPr>
        <b/>
        <i/>
        <sz val="10"/>
        <rFont val="Adani Regular"/>
      </rPr>
      <t>INR</t>
    </r>
    <r>
      <rPr>
        <sz val="10"/>
        <rFont val="Adani Regular"/>
      </rPr>
      <t xml:space="preserve"> per GT, upto 500 GT</t>
    </r>
  </si>
  <si>
    <r>
      <rPr>
        <b/>
        <i/>
        <sz val="10"/>
        <rFont val="Adani Regular"/>
      </rPr>
      <t>INR</t>
    </r>
    <r>
      <rPr>
        <sz val="10"/>
        <rFont val="Adani Regular"/>
      </rPr>
      <t xml:space="preserve"> per GT, above 500 GT</t>
    </r>
  </si>
  <si>
    <t>For maximum 4 hours and $ 400 for every subsequent hour thereafter</t>
  </si>
  <si>
    <t>per Calender day</t>
  </si>
  <si>
    <t>INR per Hour</t>
  </si>
  <si>
    <t>Per collection per trip</t>
  </si>
  <si>
    <t>10001 to 15000 GT</t>
  </si>
  <si>
    <t>15001 to 30000 GT</t>
  </si>
  <si>
    <t>10000 to 15000 GT</t>
  </si>
  <si>
    <t>15000 to 30000 GT</t>
  </si>
  <si>
    <t>Pilotage &amp; Towage
CONTAINER -FOREIGN</t>
  </si>
  <si>
    <t>Pilotage &amp; Towage
CONTAINER -COASTAL</t>
  </si>
  <si>
    <t>Pilotage &amp; Towage
ALL OTHER -COASTAL</t>
  </si>
  <si>
    <t>Pilotage &amp; Towage
ALL OTHER -FOREIGN</t>
  </si>
  <si>
    <t>Berth Hire -CONTR -COASTAL</t>
  </si>
  <si>
    <t>Coastal going, per GT per Hour</t>
  </si>
  <si>
    <t>Berth Hire -ALL OTHER -COASTAL</t>
  </si>
  <si>
    <t>AMT USD</t>
  </si>
  <si>
    <t>AMT INR</t>
  </si>
  <si>
    <t>COASTAL</t>
  </si>
  <si>
    <t>LNG</t>
  </si>
  <si>
    <t>TANKER</t>
  </si>
  <si>
    <t>Port Environment &amp; Safety -for containers</t>
  </si>
  <si>
    <t>15 days valid</t>
  </si>
  <si>
    <t>Port Dues (per GT) 
All other vessels -Foreign</t>
  </si>
  <si>
    <t>Port Dues (per GT) 
container / car / Project cargo -F / C</t>
  </si>
  <si>
    <t xml:space="preserve">Port Dues (per GT) 
All other vessels -Coastal </t>
  </si>
  <si>
    <t>Pilotage -
Container / car / Project cargo -F / C</t>
  </si>
  <si>
    <t>Pilotage - 
All other vessels -Foreign</t>
  </si>
  <si>
    <t>UPTO 8000 GT</t>
  </si>
  <si>
    <t>8001 TO 20000 GT</t>
  </si>
  <si>
    <t>20001 TO 40000 GT</t>
  </si>
  <si>
    <t>40001 TO 70000 GT</t>
  </si>
  <si>
    <t>70001 AND ABOVE</t>
  </si>
  <si>
    <t>Pilotage - 
All other vessels -Coastal</t>
  </si>
  <si>
    <t>all vessels and runs</t>
  </si>
  <si>
    <t>for all other vessels</t>
  </si>
  <si>
    <t>for container vsls</t>
  </si>
  <si>
    <t>for roro</t>
  </si>
  <si>
    <t>Berth Hire -CONTR -F /C</t>
  </si>
  <si>
    <t>Berth Hire -ALL OTHER -F/C</t>
  </si>
  <si>
    <t>upto 3000 GT</t>
  </si>
  <si>
    <t>3001 to 15000 gt</t>
  </si>
  <si>
    <t>15001 and above</t>
  </si>
  <si>
    <t>UPTO 15000 GT</t>
  </si>
  <si>
    <t>15001 TO 25000 GT</t>
  </si>
  <si>
    <t>250001 AND ABOVE</t>
  </si>
  <si>
    <t>UPTO 3000 GT</t>
  </si>
  <si>
    <t>3001 TO 15000 GT</t>
  </si>
  <si>
    <t>Berth Hire -TANKERS</t>
  </si>
  <si>
    <t>15001 TO 30000 GT</t>
  </si>
  <si>
    <t>ABOVE 30001 GT</t>
  </si>
  <si>
    <t>UPTO 45000 GT</t>
  </si>
  <si>
    <t>ABOVE 45000 GT</t>
  </si>
  <si>
    <t>PORT DUES -GLOBAL</t>
  </si>
  <si>
    <t>Pilotage - upto 45000 GT</t>
  </si>
  <si>
    <t>Pilotage - above 45000 GT</t>
  </si>
  <si>
    <t>upto 5000 GT</t>
  </si>
  <si>
    <t>5001 to 10000 gt</t>
  </si>
  <si>
    <t>10001 to 15000 gt</t>
  </si>
  <si>
    <t>15001 and above GT</t>
  </si>
  <si>
    <t>Berth Hire -upto 45000 GT</t>
  </si>
  <si>
    <t>Berth Hire -Above 45000 GT</t>
  </si>
  <si>
    <t>TYPE</t>
  </si>
  <si>
    <t>PORTS</t>
  </si>
  <si>
    <t>TERMINALS</t>
  </si>
  <si>
    <t>Grand Total</t>
  </si>
  <si>
    <t>Sum of Tariff</t>
  </si>
  <si>
    <t>Sum of Min Charges</t>
  </si>
  <si>
    <t>GT</t>
  </si>
  <si>
    <t>Hrs</t>
  </si>
  <si>
    <t>Ex Rate</t>
  </si>
  <si>
    <t>RATE</t>
  </si>
  <si>
    <t>FILTER</t>
  </si>
  <si>
    <t>GRT</t>
  </si>
  <si>
    <t>TARIFF CURR</t>
  </si>
  <si>
    <t>EX RATE</t>
  </si>
  <si>
    <t>Amt USD</t>
  </si>
  <si>
    <t>AmtINR</t>
  </si>
  <si>
    <t>Qty</t>
  </si>
  <si>
    <t>&lt;&gt;</t>
  </si>
  <si>
    <t>Port Dues -LNG</t>
  </si>
  <si>
    <t>Pilotage -
CONTAINER</t>
  </si>
  <si>
    <t>Pilotage -
TANKER</t>
  </si>
  <si>
    <t>Port Dues -POL Tankers</t>
  </si>
  <si>
    <t>Pilotage -
POL TANKERS</t>
  </si>
  <si>
    <t>Pilotage -
LNG TANKERS</t>
  </si>
  <si>
    <t>VRC</t>
  </si>
  <si>
    <t>VSL TYPE</t>
  </si>
  <si>
    <t>VSL RUN</t>
  </si>
  <si>
    <t>*  Taxes / duties extra</t>
  </si>
  <si>
    <t>Sustainaibility Charges (per GT)</t>
  </si>
  <si>
    <t>FY 2021-22</t>
  </si>
  <si>
    <t>FY 2022-23</t>
  </si>
  <si>
    <t>Service Boat</t>
  </si>
  <si>
    <t>Anchorage</t>
  </si>
  <si>
    <t>Crew Change</t>
  </si>
  <si>
    <t>Krishnapattnam</t>
  </si>
  <si>
    <t>Hotwork (8 hr slab)</t>
  </si>
  <si>
    <t>Tariff Database : Dighi</t>
  </si>
  <si>
    <t>Gangway (per CD)</t>
  </si>
  <si>
    <t>Gangway Watchman</t>
  </si>
  <si>
    <t>Gangway Sanitization</t>
  </si>
  <si>
    <t>Gangway Extension</t>
  </si>
  <si>
    <t>Pipeline (per MT)</t>
  </si>
  <si>
    <t>Gate Entry / ShipChandling</t>
  </si>
  <si>
    <t>Layup BHC</t>
  </si>
  <si>
    <t>Winch Rope</t>
  </si>
  <si>
    <t>Fresh Water</t>
  </si>
  <si>
    <t>Sludge Removal</t>
  </si>
  <si>
    <t>Shore Crane</t>
  </si>
  <si>
    <t>Tug Sanitization</t>
  </si>
  <si>
    <t>QC hire</t>
  </si>
  <si>
    <t>Additional Tug</t>
  </si>
  <si>
    <t>Pilot Attendence</t>
  </si>
  <si>
    <t>Open Loop Scrubber</t>
  </si>
  <si>
    <t>Immobilizaiton</t>
  </si>
  <si>
    <t>Hydra</t>
  </si>
  <si>
    <t>Idle BHC</t>
  </si>
  <si>
    <t>Forklift</t>
  </si>
  <si>
    <t>Gang Idiling</t>
  </si>
  <si>
    <t>Docking / Undocking</t>
  </si>
  <si>
    <t>Late declaration</t>
  </si>
  <si>
    <t>Bunker Supply</t>
  </si>
  <si>
    <t>Cherry Picker Hire</t>
  </si>
  <si>
    <t>Stevedoring</t>
  </si>
  <si>
    <t>Shore Crane -Gottwald</t>
  </si>
  <si>
    <t>Lifeboat Lowering</t>
  </si>
  <si>
    <t>Port Doctor</t>
  </si>
  <si>
    <t>Unsafe Pilot Ladder</t>
  </si>
  <si>
    <t>Transhipment Permit</t>
  </si>
  <si>
    <t>Non Berth Vacating</t>
  </si>
  <si>
    <t>Priority Berthing</t>
  </si>
  <si>
    <t>Pilotage Cancel -Brth -After Boarding</t>
  </si>
  <si>
    <t>Pilotage Cancel -Brth -Before Boarding</t>
  </si>
  <si>
    <t>Pilot Detention -Brth -upto 30 mins</t>
  </si>
  <si>
    <t>Pilot Detention -Brth -above 30 mins</t>
  </si>
  <si>
    <t>Pilotage Cancel -UnBrth -After Boarding</t>
  </si>
  <si>
    <t>Pilotage Cancel -UnBrth -Before Boarding</t>
  </si>
  <si>
    <t>Pilot Detention -UnBrth -upto 30 mins</t>
  </si>
  <si>
    <t>Pilot Detention -UnBrth -above 30 mins</t>
  </si>
  <si>
    <t>Warping</t>
  </si>
  <si>
    <t>Cargo Lightening</t>
  </si>
  <si>
    <t>Dumb Barge</t>
  </si>
  <si>
    <t>Vessel Deficiency -Unsafe Ladder</t>
  </si>
  <si>
    <t>Vessel Deficiency -Failure to Report</t>
  </si>
  <si>
    <t>Vessel Deficiency -Non functional</t>
  </si>
  <si>
    <t>Failure of Mooring Winch etc</t>
  </si>
  <si>
    <t>Wrong declaration draft</t>
  </si>
  <si>
    <t>Garbage Regulation Violation</t>
  </si>
  <si>
    <t>Wrong hoisting flag</t>
  </si>
  <si>
    <t>Cargo falling overboard</t>
  </si>
  <si>
    <t>Non Compliance -Port regulations</t>
  </si>
  <si>
    <t>Anchor missing / damage</t>
  </si>
  <si>
    <t>Tug Hire for Transportaiton</t>
  </si>
  <si>
    <t>Tug Hire for Stores</t>
  </si>
  <si>
    <t>Cold Move -Planned</t>
  </si>
  <si>
    <t>Oil Spill Pollution</t>
  </si>
  <si>
    <t>Bollard Pull test</t>
  </si>
  <si>
    <t>Diving -for 4 hours</t>
  </si>
  <si>
    <t>Diving -Videography permit</t>
  </si>
  <si>
    <t>Diving -Outsidge agency permit</t>
  </si>
  <si>
    <t>Diving -Service boat</t>
  </si>
  <si>
    <t>Security Guard</t>
  </si>
  <si>
    <t>Security Vehicle -with driver</t>
  </si>
  <si>
    <t>Oil Rags removal / disposal</t>
  </si>
  <si>
    <t>Garbage Collection -at Berth</t>
  </si>
  <si>
    <t>Sewage Collection</t>
  </si>
  <si>
    <t>Bio Medical Waste</t>
  </si>
  <si>
    <t>Garbage Collection -at Anchorage</t>
  </si>
  <si>
    <t>Spillage on Hatch / Hold</t>
  </si>
  <si>
    <t>Shore Generator</t>
  </si>
  <si>
    <t>Ambulance</t>
  </si>
  <si>
    <t>Invoice Revision</t>
  </si>
  <si>
    <t>VCN Cancellation</t>
  </si>
  <si>
    <t>Bunker Handling</t>
  </si>
  <si>
    <t>Shifting / Turnaround</t>
  </si>
  <si>
    <t>Grab Transportation</t>
  </si>
  <si>
    <r>
      <t xml:space="preserve">SHIFTING - </t>
    </r>
    <r>
      <rPr>
        <b/>
        <sz val="10"/>
        <rFont val="Adani Regular"/>
      </rPr>
      <t>Berth to Berth / Anch or back
(50% of Pilotage for one movement only)</t>
    </r>
    <r>
      <rPr>
        <sz val="10"/>
        <rFont val="Adani Regular"/>
      </rPr>
      <t xml:space="preserve">
All other vessels -</t>
    </r>
    <r>
      <rPr>
        <b/>
        <sz val="10"/>
        <rFont val="Adani Regular"/>
      </rPr>
      <t>Foreign</t>
    </r>
  </si>
  <si>
    <r>
      <t xml:space="preserve">SHIFTING - </t>
    </r>
    <r>
      <rPr>
        <b/>
        <sz val="10"/>
        <rFont val="Adani Regular"/>
      </rPr>
      <t>Berth to Berth / Anch or back
(50% of Pilotage for one movement only)</t>
    </r>
    <r>
      <rPr>
        <sz val="10"/>
        <rFont val="Adani Regular"/>
      </rPr>
      <t xml:space="preserve">
All other vessels -</t>
    </r>
    <r>
      <rPr>
        <b/>
        <sz val="10"/>
        <rFont val="Adani Regular"/>
      </rPr>
      <t>Coastal</t>
    </r>
  </si>
  <si>
    <r>
      <t xml:space="preserve">SHIFTING </t>
    </r>
    <r>
      <rPr>
        <b/>
        <sz val="10"/>
        <rFont val="Adani Regular"/>
      </rPr>
      <t>(BAD WETHER)</t>
    </r>
    <r>
      <rPr>
        <sz val="10"/>
        <rFont val="Adani Regular"/>
      </rPr>
      <t xml:space="preserve"> - 
</t>
    </r>
    <r>
      <rPr>
        <b/>
        <sz val="10"/>
        <rFont val="Adani Regular"/>
      </rPr>
      <t>Berth to Anch ONLY
(50% of SHIFTING for one movement only)</t>
    </r>
    <r>
      <rPr>
        <sz val="10"/>
        <rFont val="Adani Regular"/>
      </rPr>
      <t xml:space="preserve">
All other vessels -</t>
    </r>
    <r>
      <rPr>
        <b/>
        <sz val="10"/>
        <rFont val="Adani Regular"/>
      </rPr>
      <t>Foreign</t>
    </r>
  </si>
  <si>
    <r>
      <t xml:space="preserve">SHIFTING </t>
    </r>
    <r>
      <rPr>
        <b/>
        <sz val="10"/>
        <rFont val="Adani Regular"/>
      </rPr>
      <t>(BAD WETHER)</t>
    </r>
    <r>
      <rPr>
        <sz val="10"/>
        <rFont val="Adani Regular"/>
      </rPr>
      <t xml:space="preserve"> - 
</t>
    </r>
    <r>
      <rPr>
        <b/>
        <sz val="10"/>
        <rFont val="Adani Regular"/>
      </rPr>
      <t>Berth to Anch ONLY
(50% of SHIFTING for one movement only)</t>
    </r>
    <r>
      <rPr>
        <sz val="10"/>
        <rFont val="Adani Regular"/>
      </rPr>
      <t xml:space="preserve">
All other vessels -</t>
    </r>
    <r>
      <rPr>
        <b/>
        <sz val="10"/>
        <rFont val="Adani Regular"/>
      </rPr>
      <t>Coastal</t>
    </r>
  </si>
  <si>
    <t>per activity</t>
  </si>
  <si>
    <t>Fuel Surcharge</t>
  </si>
  <si>
    <t>per Permission</t>
  </si>
  <si>
    <t>250 for 24 hours, thereafter usd 125 for 12 hrs each</t>
  </si>
  <si>
    <t>Cargo Hold Washing Permission</t>
  </si>
  <si>
    <t>per permission</t>
  </si>
  <si>
    <t>for 4 hours slab</t>
  </si>
  <si>
    <t>Crawler Crane 80T -Berth 7 / 8 -Mob/Demob Extra</t>
  </si>
  <si>
    <t>Crawler Crane 150T -Berth 7 /8 -Mob/Demob Extra</t>
  </si>
  <si>
    <t>Crawler Crane 80T -Berth 1 / 6 -Mob/Demob Extra</t>
  </si>
  <si>
    <t>Crawler Crane 150T -Berth 1 /6 -Mob/Demob Extra</t>
  </si>
  <si>
    <t>for 8 hours slab</t>
  </si>
  <si>
    <t>Crane Idiling (per hr/hook)</t>
  </si>
  <si>
    <t>per 30 min slab</t>
  </si>
  <si>
    <t>NIL upto 30 mins</t>
  </si>
  <si>
    <t>Radio Remote Grab -per Day</t>
  </si>
  <si>
    <t>Radio Remote Grab -per MT</t>
  </si>
  <si>
    <t>per day</t>
  </si>
  <si>
    <t>per Grab</t>
  </si>
  <si>
    <t>250 FOR 5 HOURS, USD 50 every subsequent hour</t>
  </si>
  <si>
    <t>for min 3 hours, usd 1250 per hour thereafter</t>
  </si>
  <si>
    <t>Cold Move -Unplanned
All other vessels -Foreign</t>
  </si>
  <si>
    <t>FY 2022-23 
(1-4-22)</t>
  </si>
  <si>
    <t>FY 2022-23 
(15-10-22)</t>
  </si>
  <si>
    <t>per GT / hour</t>
  </si>
  <si>
    <t>Above 45001 GT</t>
  </si>
  <si>
    <t>KEY</t>
  </si>
  <si>
    <t>Diff Pilotage -Vessel Aging</t>
  </si>
  <si>
    <t xml:space="preserve">0 to 5 </t>
  </si>
  <si>
    <t>6 to 10</t>
  </si>
  <si>
    <t>11 to 15</t>
  </si>
  <si>
    <t>16 to 20</t>
  </si>
  <si>
    <t>Above 20</t>
  </si>
  <si>
    <t>FY 2023-24</t>
  </si>
  <si>
    <t>2022-23</t>
  </si>
  <si>
    <t>2023-24</t>
  </si>
  <si>
    <t>2022-22</t>
  </si>
  <si>
    <t>Berth Hire -ALL OTHER -FOREIGN</t>
  </si>
  <si>
    <t>Berth Hire -CONTR -FOREIGN</t>
  </si>
  <si>
    <t>UPTO 35000 GT</t>
  </si>
  <si>
    <t>35001 TO 45000 GT</t>
  </si>
  <si>
    <t>QTY/TIME</t>
  </si>
  <si>
    <t>PESP &amp; Dredging</t>
  </si>
  <si>
    <t xml:space="preserve">MIN </t>
  </si>
  <si>
    <t>Vessel Cost</t>
  </si>
  <si>
    <t>Berth Stay (Hrs)</t>
  </si>
  <si>
    <t>Curr Rate (USD)</t>
  </si>
  <si>
    <t>Cost per GT</t>
  </si>
  <si>
    <t>Cost per MT</t>
  </si>
  <si>
    <t>Cargo (in MT)</t>
  </si>
  <si>
    <t>Sustainability</t>
  </si>
  <si>
    <t>per GT</t>
  </si>
  <si>
    <t>GANGAVARAM</t>
  </si>
  <si>
    <t>KARAIKAL</t>
  </si>
  <si>
    <t>DRY BULK</t>
  </si>
  <si>
    <t>SBU</t>
  </si>
  <si>
    <t>DRY/LQD/CONTR</t>
  </si>
  <si>
    <t>Berth Hire (GT per Day)</t>
  </si>
  <si>
    <t>Anchorage (per day)</t>
  </si>
  <si>
    <t>GLOBAL</t>
  </si>
  <si>
    <t>Berth Hire -Global</t>
  </si>
  <si>
    <t>for Tanker Vessels upto 15000 GT</t>
  </si>
  <si>
    <t>15001 to 30000 gt</t>
  </si>
  <si>
    <t>above 30000 gt</t>
  </si>
  <si>
    <t>Wharfage</t>
  </si>
  <si>
    <t>Port Dues -GLOBAL</t>
  </si>
  <si>
    <t>Pilotage -GLOBAL</t>
  </si>
  <si>
    <t>Berth Hire -POL</t>
  </si>
  <si>
    <t>POL</t>
  </si>
  <si>
    <t>Berth Hire -Foreign</t>
  </si>
  <si>
    <t>Berth Hire -Coastal</t>
  </si>
  <si>
    <t>KRISHNAPTNM</t>
  </si>
  <si>
    <t>BREAK BULK</t>
  </si>
  <si>
    <t>Last Updated on 1st April, 2023</t>
  </si>
  <si>
    <t>5001 to 15000</t>
  </si>
  <si>
    <t>150001 to 20000</t>
  </si>
  <si>
    <t>above 20000</t>
  </si>
  <si>
    <t>Pilotage &gt; 10000 GT</t>
  </si>
  <si>
    <t>Pilotage &lt;= 10000 GT</t>
  </si>
  <si>
    <t>Berth hire</t>
  </si>
  <si>
    <t>not in use wef Apr23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</si>
</sst>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 #,##0.00_ ;_ * \-#,##0.00_ ;_ * &quot;-&quot;??_ ;_ @_ "/>
    <numFmt numFmtId="164" formatCode="_ * #,##0_ ;_ * \-#,##0_ ;_ * &quot;-&quot;??_ ;_ @_ "/>
    <numFmt numFmtId="165" formatCode="_(* #,##0.00_);_(* \(#,##0.00\);_(* &quot;-&quot;??_);_(@_)"/>
    <numFmt numFmtId="166" formatCode="0.000000"/>
    <numFmt numFmtId="167" formatCode="_ * #,##0.0000000_ ;_ * \-#,##0.0000000_ ;_ * &quot;-&quot;??_ ;_ @_ "/>
    <numFmt numFmtId="168" formatCode="0.0000000"/>
    <numFmt numFmtId="169" formatCode="0.00000"/>
    <numFmt numFmtId="170" formatCode="_ [$₹-4009]\ * #,##0.00_ ;_ [$₹-4009]\ * \-#,##0.00_ ;_ [$₹-4009]\ * &quot;-&quot;??_ ;_ @_ "/>
    <numFmt numFmtId="171" formatCode="_ [$₹-4009]\ * #,##0_ ;_ [$₹-4009]\ * \-#,##0_ ;_ [$₹-4009]\ * &quot;-&quot;??_ ;_ @_ "/>
    <numFmt numFmtId="172" formatCode="_-[$$-409]* #,##0.000000_ ;_-[$$-409]* \-#,##0.000000\ ;_-[$$-409]* &quot;-&quot;??_ ;_-@_ "/>
  </numFmts>
  <fonts count="21">
    <font>
      <sz val="11"/>
      <color theme="1"/>
      <name val="Calibri"/>
      <family val="2"/>
      <scheme val="minor"/>
    </font>
    <font>
      <sz val="11"/>
      <color theme="1"/>
      <name val="Calibri"/>
      <family val="2"/>
      <scheme val="minor"/>
    </font>
    <font>
      <sz val="10"/>
      <name val="Arial"/>
      <family val="2"/>
    </font>
    <font>
      <b/>
      <sz val="10"/>
      <name val="Adani Regular"/>
    </font>
    <font>
      <sz val="10"/>
      <name val="Adani Regular"/>
    </font>
    <font>
      <sz val="10"/>
      <color theme="1"/>
      <name val="Adani Regular"/>
    </font>
    <font>
      <b/>
      <sz val="14"/>
      <name val="Adani Regular"/>
    </font>
    <font>
      <b/>
      <i/>
      <sz val="10"/>
      <name val="Adani Regular"/>
    </font>
    <font>
      <b/>
      <u/>
      <sz val="10"/>
      <name val="Adani Regular"/>
    </font>
    <font>
      <b/>
      <sz val="11"/>
      <color theme="1"/>
      <name val="Calibri"/>
      <family val="2"/>
      <scheme val="minor"/>
    </font>
    <font>
      <sz val="11"/>
      <color theme="0"/>
      <name val="Calibri"/>
      <family val="2"/>
      <scheme val="minor"/>
    </font>
    <font>
      <b/>
      <sz val="10"/>
      <color theme="0"/>
      <name val="Adani Regular"/>
    </font>
    <font>
      <b/>
      <sz val="16"/>
      <name val="Adani Regular"/>
    </font>
    <font>
      <b/>
      <sz val="18"/>
      <color theme="0"/>
      <name val="Adani Regular"/>
    </font>
    <font>
      <b/>
      <sz val="18"/>
      <name val="Adani Regular"/>
    </font>
    <font>
      <sz val="18"/>
      <color theme="0"/>
      <name val="72 Light"/>
      <family val="2"/>
    </font>
    <font>
      <sz val="11"/>
      <color theme="0"/>
      <name val="72 Light"/>
      <family val="2"/>
    </font>
    <font>
      <b/>
      <sz val="18"/>
      <color theme="0"/>
      <name val="72 Light"/>
      <family val="2"/>
    </font>
    <font>
      <b/>
      <sz val="12"/>
      <color theme="0"/>
      <name val="72 Light"/>
      <family val="2"/>
    </font>
    <font>
      <sz val="11"/>
      <color theme="3" tint="0.79998168889431442"/>
      <name val="Calibri"/>
      <family val="2"/>
      <scheme val="minor"/>
    </font>
    <font>
      <sz val="18"/>
      <color theme="3" tint="0.79998168889431442"/>
      <name val="72 Light"/>
      <family val="2"/>
    </font>
  </fonts>
  <fills count="1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bgColor indexed="64"/>
      </patternFill>
    </fill>
    <fill>
      <patternFill patternType="solid">
        <fgColor rgb="FF002060"/>
        <bgColor indexed="64"/>
      </patternFill>
    </fill>
    <fill>
      <patternFill patternType="solid">
        <fgColor rgb="FF92D05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C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diagonal/>
    </border>
    <border>
      <left style="thin">
        <color indexed="64"/>
      </left>
      <right style="thin">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indexed="64"/>
      </bottom>
      <diagonal/>
    </border>
    <border>
      <left style="thin">
        <color theme="1"/>
      </left>
      <right style="thin">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0"/>
      </bottom>
      <diagonal/>
    </border>
    <border>
      <left/>
      <right/>
      <top style="thin">
        <color theme="0"/>
      </top>
      <bottom style="thin">
        <color theme="0"/>
      </bottom>
      <diagonal/>
    </border>
  </borders>
  <cellStyleXfs count="5">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9" fontId="1" fillId="0" borderId="0" applyFont="0" applyFill="0" applyBorder="0" applyAlignment="0" applyProtection="0"/>
  </cellStyleXfs>
  <cellXfs count="194">
    <xf numFmtId="0" fontId="0" fillId="0" borderId="0" xfId="0"/>
    <xf numFmtId="0" fontId="0" fillId="0" borderId="0" xfId="0" pivotButton="1"/>
    <xf numFmtId="0" fontId="0" fillId="0" borderId="0" xfId="0" applyAlignment="1">
      <alignment horizontal="left"/>
    </xf>
    <xf numFmtId="0" fontId="3" fillId="0" borderId="0" xfId="2" applyFont="1"/>
    <xf numFmtId="0" fontId="4" fillId="0" borderId="0" xfId="2" applyFont="1"/>
    <xf numFmtId="0" fontId="3" fillId="2" borderId="1" xfId="2" applyFont="1" applyFill="1" applyBorder="1" applyAlignment="1">
      <alignment horizontal="center" vertical="center"/>
    </xf>
    <xf numFmtId="0" fontId="5" fillId="0" borderId="2" xfId="2" applyFont="1" applyBorder="1"/>
    <xf numFmtId="0" fontId="4" fillId="0" borderId="1" xfId="2" applyFont="1" applyBorder="1" applyAlignment="1" applyProtection="1">
      <alignment horizontal="center"/>
      <protection locked="0"/>
    </xf>
    <xf numFmtId="0" fontId="4" fillId="0" borderId="1" xfId="2" applyFont="1" applyBorder="1" applyAlignment="1">
      <alignment horizontal="center"/>
    </xf>
    <xf numFmtId="0" fontId="4" fillId="0" borderId="1" xfId="2" applyFont="1" applyBorder="1"/>
    <xf numFmtId="0" fontId="4" fillId="0" borderId="1" xfId="2" applyFont="1" applyBorder="1" applyAlignment="1" applyProtection="1">
      <alignment horizontal="center" vertical="center" wrapText="1"/>
      <protection locked="0"/>
    </xf>
    <xf numFmtId="0" fontId="4" fillId="0" borderId="1" xfId="2" applyFont="1" applyBorder="1" applyAlignment="1">
      <alignment wrapText="1"/>
    </xf>
    <xf numFmtId="0" fontId="5" fillId="3" borderId="2" xfId="2" applyFont="1" applyFill="1" applyBorder="1"/>
    <xf numFmtId="0" fontId="4" fillId="3" borderId="1" xfId="2" applyFont="1" applyFill="1" applyBorder="1" applyAlignment="1" applyProtection="1">
      <alignment horizontal="center"/>
      <protection locked="0"/>
    </xf>
    <xf numFmtId="0" fontId="4" fillId="3" borderId="1" xfId="2" applyFont="1" applyFill="1" applyBorder="1" applyAlignment="1">
      <alignment horizontal="center"/>
    </xf>
    <xf numFmtId="0" fontId="4" fillId="3" borderId="1" xfId="2" applyFont="1" applyFill="1" applyBorder="1"/>
    <xf numFmtId="0" fontId="4" fillId="3" borderId="1" xfId="2" applyFont="1" applyFill="1" applyBorder="1" applyAlignment="1" applyProtection="1">
      <alignment horizontal="center" vertical="center" wrapText="1"/>
      <protection locked="0"/>
    </xf>
    <xf numFmtId="0" fontId="3" fillId="4" borderId="1" xfId="2" applyFont="1" applyFill="1" applyBorder="1" applyAlignment="1">
      <alignment horizontal="center" vertical="center"/>
    </xf>
    <xf numFmtId="0" fontId="4" fillId="0" borderId="1" xfId="2" applyFont="1" applyBorder="1" applyProtection="1">
      <protection locked="0"/>
    </xf>
    <xf numFmtId="0" fontId="4" fillId="0" borderId="1" xfId="2" applyFont="1" applyBorder="1" applyAlignment="1">
      <alignment horizontal="left"/>
    </xf>
    <xf numFmtId="0" fontId="4" fillId="0" borderId="1" xfId="2" applyFont="1" applyBorder="1" applyAlignment="1">
      <alignment horizontal="left" vertical="center" wrapText="1"/>
    </xf>
    <xf numFmtId="0" fontId="4" fillId="0" borderId="1" xfId="2" applyFont="1" applyBorder="1" applyAlignment="1">
      <alignment vertical="center"/>
    </xf>
    <xf numFmtId="0" fontId="4" fillId="0" borderId="1" xfId="2" applyFont="1" applyBorder="1" applyAlignment="1">
      <alignment horizontal="left" wrapText="1"/>
    </xf>
    <xf numFmtId="0" fontId="4" fillId="0" borderId="6" xfId="2" applyFont="1" applyBorder="1" applyAlignment="1">
      <alignment horizontal="left" vertical="center" wrapText="1"/>
    </xf>
    <xf numFmtId="0" fontId="3" fillId="0" borderId="1" xfId="2" applyFont="1" applyBorder="1" applyAlignment="1" applyProtection="1">
      <alignment horizontal="center"/>
      <protection locked="0"/>
    </xf>
    <xf numFmtId="0" fontId="3" fillId="0" borderId="1" xfId="2" applyFont="1" applyBorder="1"/>
    <xf numFmtId="0" fontId="4" fillId="0" borderId="0" xfId="2" applyFont="1" applyAlignment="1">
      <alignment horizontal="left"/>
    </xf>
    <xf numFmtId="0" fontId="4" fillId="3" borderId="1" xfId="2" applyFont="1" applyFill="1" applyBorder="1" applyProtection="1">
      <protection locked="0"/>
    </xf>
    <xf numFmtId="0" fontId="0" fillId="0" borderId="0" xfId="0" applyNumberFormat="1"/>
    <xf numFmtId="0" fontId="4" fillId="0" borderId="6" xfId="2" applyFont="1" applyBorder="1" applyAlignment="1">
      <alignment horizontal="left" vertical="center" wrapText="1"/>
    </xf>
    <xf numFmtId="0" fontId="4" fillId="0" borderId="1" xfId="2" applyFont="1" applyBorder="1" applyAlignment="1" applyProtection="1">
      <alignment horizontal="center" vertical="center"/>
      <protection locked="0"/>
    </xf>
    <xf numFmtId="2" fontId="4" fillId="0" borderId="0" xfId="2" applyNumberFormat="1" applyFont="1"/>
    <xf numFmtId="0" fontId="4" fillId="0" borderId="4" xfId="2" applyFont="1" applyBorder="1" applyAlignment="1">
      <alignment vertical="center" wrapText="1"/>
    </xf>
    <xf numFmtId="0" fontId="3" fillId="0" borderId="1" xfId="2" applyFont="1" applyBorder="1" applyAlignment="1">
      <alignment wrapText="1"/>
    </xf>
    <xf numFmtId="0" fontId="4" fillId="0" borderId="6" xfId="2" applyFont="1" applyBorder="1" applyAlignment="1">
      <alignment horizontal="left" vertical="center" wrapText="1"/>
    </xf>
    <xf numFmtId="0" fontId="4" fillId="0" borderId="1" xfId="2" applyFont="1" applyFill="1" applyBorder="1" applyAlignment="1">
      <alignment horizontal="left" vertical="center" wrapText="1"/>
    </xf>
    <xf numFmtId="0" fontId="4" fillId="0" borderId="6" xfId="2" applyFont="1" applyBorder="1" applyAlignment="1">
      <alignment horizontal="left" wrapText="1"/>
    </xf>
    <xf numFmtId="0" fontId="5" fillId="3" borderId="8" xfId="2" applyFont="1" applyFill="1" applyBorder="1" applyAlignment="1">
      <alignment horizontal="left" vertical="center"/>
    </xf>
    <xf numFmtId="0" fontId="4" fillId="0" borderId="1" xfId="2" applyFont="1" applyFill="1" applyBorder="1" applyAlignment="1">
      <alignment vertical="center" wrapText="1"/>
    </xf>
    <xf numFmtId="0" fontId="0" fillId="0" borderId="1" xfId="0" applyBorder="1" applyAlignment="1">
      <alignment horizontal="center"/>
    </xf>
    <xf numFmtId="166" fontId="0" fillId="0" borderId="0" xfId="0" applyNumberFormat="1"/>
    <xf numFmtId="0" fontId="0" fillId="3" borderId="0" xfId="0" applyFill="1"/>
    <xf numFmtId="0" fontId="0" fillId="5" borderId="0" xfId="0" applyFill="1"/>
    <xf numFmtId="0" fontId="4" fillId="0" borderId="6" xfId="2" applyFont="1" applyBorder="1" applyAlignment="1" applyProtection="1">
      <alignment horizontal="center" vertical="center"/>
      <protection locked="0"/>
    </xf>
    <xf numFmtId="0" fontId="0" fillId="0" borderId="0" xfId="0" applyFill="1"/>
    <xf numFmtId="164" fontId="0" fillId="0" borderId="0" xfId="1" applyNumberFormat="1" applyFont="1"/>
    <xf numFmtId="43" fontId="0" fillId="0" borderId="0" xfId="0" applyNumberFormat="1"/>
    <xf numFmtId="0" fontId="4" fillId="0" borderId="4" xfId="2" applyFont="1" applyBorder="1" applyAlignment="1" applyProtection="1">
      <alignment horizontal="center"/>
      <protection locked="0"/>
    </xf>
    <xf numFmtId="0" fontId="4" fillId="0" borderId="4" xfId="2" applyFont="1" applyFill="1" applyBorder="1" applyAlignment="1">
      <alignment horizontal="left" vertical="center" wrapText="1"/>
    </xf>
    <xf numFmtId="164" fontId="0" fillId="0" borderId="0" xfId="0" applyNumberFormat="1"/>
    <xf numFmtId="0" fontId="5" fillId="3" borderId="1" xfId="2" applyFont="1" applyFill="1" applyBorder="1" applyAlignment="1">
      <alignment horizontal="left" vertical="center"/>
    </xf>
    <xf numFmtId="0" fontId="9" fillId="0" borderId="0" xfId="0" applyFont="1"/>
    <xf numFmtId="0" fontId="4" fillId="0" borderId="1" xfId="2" applyFont="1" applyFill="1" applyBorder="1" applyAlignment="1" applyProtection="1">
      <alignment horizontal="center" vertical="center"/>
      <protection locked="0"/>
    </xf>
    <xf numFmtId="0" fontId="4" fillId="0" borderId="1" xfId="2" applyFont="1" applyFill="1" applyBorder="1" applyAlignment="1" applyProtection="1">
      <alignment horizontal="center"/>
      <protection locked="0"/>
    </xf>
    <xf numFmtId="0" fontId="4" fillId="0" borderId="1" xfId="2" applyFont="1" applyFill="1" applyBorder="1" applyAlignment="1">
      <alignment horizontal="center"/>
    </xf>
    <xf numFmtId="0" fontId="4" fillId="0" borderId="1" xfId="2" applyFont="1" applyFill="1" applyBorder="1"/>
    <xf numFmtId="0" fontId="12" fillId="0" borderId="0" xfId="2" applyFont="1"/>
    <xf numFmtId="0" fontId="14" fillId="0" borderId="0" xfId="2" applyFont="1"/>
    <xf numFmtId="167" fontId="4" fillId="0" borderId="1" xfId="1" applyNumberFormat="1" applyFont="1" applyBorder="1" applyAlignment="1" applyProtection="1">
      <alignment horizontal="center" vertical="center"/>
      <protection locked="0"/>
    </xf>
    <xf numFmtId="0" fontId="4" fillId="3" borderId="1" xfId="2" applyFont="1" applyFill="1" applyBorder="1" applyAlignment="1" applyProtection="1">
      <alignment horizontal="center" vertical="center"/>
      <protection locked="0"/>
    </xf>
    <xf numFmtId="0" fontId="4" fillId="0" borderId="1" xfId="2" applyFont="1" applyBorder="1" applyAlignment="1" applyProtection="1">
      <protection locked="0"/>
    </xf>
    <xf numFmtId="0" fontId="4" fillId="0" borderId="1" xfId="2" applyFont="1" applyBorder="1" applyAlignment="1" applyProtection="1">
      <alignment vertical="center"/>
      <protection locked="0"/>
    </xf>
    <xf numFmtId="0" fontId="4" fillId="3" borderId="1" xfId="2" applyFont="1" applyFill="1" applyBorder="1" applyAlignment="1" applyProtection="1">
      <protection locked="0"/>
    </xf>
    <xf numFmtId="0" fontId="4" fillId="3" borderId="1" xfId="2" applyFont="1" applyFill="1" applyBorder="1" applyAlignment="1"/>
    <xf numFmtId="0" fontId="4" fillId="0" borderId="6" xfId="2" applyFont="1" applyBorder="1" applyAlignment="1">
      <alignment horizontal="left" vertical="center" wrapText="1"/>
    </xf>
    <xf numFmtId="0" fontId="0" fillId="0" borderId="1" xfId="0" applyBorder="1"/>
    <xf numFmtId="10" fontId="4" fillId="0" borderId="1" xfId="4" applyNumberFormat="1" applyFont="1" applyBorder="1" applyAlignment="1" applyProtection="1">
      <alignment horizontal="center"/>
      <protection locked="0"/>
    </xf>
    <xf numFmtId="0" fontId="4" fillId="3" borderId="1" xfId="2" applyFont="1" applyFill="1" applyBorder="1" applyAlignment="1" applyProtection="1">
      <alignment horizontal="center" vertical="center"/>
      <protection locked="0"/>
    </xf>
    <xf numFmtId="0" fontId="5" fillId="0" borderId="3" xfId="2" applyFont="1" applyFill="1" applyBorder="1" applyAlignment="1">
      <alignment vertical="center"/>
    </xf>
    <xf numFmtId="0" fontId="5" fillId="0" borderId="7" xfId="2" applyFont="1" applyFill="1" applyBorder="1" applyAlignment="1">
      <alignment vertical="center"/>
    </xf>
    <xf numFmtId="0" fontId="5" fillId="0" borderId="11" xfId="2" applyFont="1" applyFill="1" applyBorder="1" applyAlignment="1">
      <alignment vertical="center"/>
    </xf>
    <xf numFmtId="0" fontId="4" fillId="7" borderId="1" xfId="2" applyFont="1" applyFill="1" applyBorder="1" applyAlignment="1" applyProtection="1">
      <alignment horizontal="center" vertical="center"/>
      <protection locked="0"/>
    </xf>
    <xf numFmtId="0" fontId="4" fillId="7" borderId="1" xfId="2" applyFont="1" applyFill="1" applyBorder="1" applyAlignment="1" applyProtection="1">
      <alignment horizontal="center"/>
      <protection locked="0"/>
    </xf>
    <xf numFmtId="168" fontId="4" fillId="0" borderId="0" xfId="2" applyNumberFormat="1" applyFont="1"/>
    <xf numFmtId="0" fontId="4" fillId="0" borderId="1" xfId="2" applyFont="1" applyBorder="1" applyAlignment="1"/>
    <xf numFmtId="0" fontId="4" fillId="0" borderId="6" xfId="2" applyFont="1" applyBorder="1" applyAlignment="1">
      <alignment horizontal="left" vertical="center" wrapText="1"/>
    </xf>
    <xf numFmtId="169" fontId="4" fillId="0" borderId="1" xfId="2" applyNumberFormat="1" applyFont="1" applyBorder="1" applyAlignment="1">
      <alignment horizontal="center"/>
    </xf>
    <xf numFmtId="0" fontId="4" fillId="0" borderId="6" xfId="2" applyFont="1" applyBorder="1" applyAlignment="1">
      <alignment horizontal="left" vertical="center" wrapText="1"/>
    </xf>
    <xf numFmtId="0" fontId="4" fillId="0" borderId="6" xfId="2" applyFont="1" applyBorder="1" applyAlignment="1">
      <alignment horizontal="left" vertical="center"/>
    </xf>
    <xf numFmtId="0" fontId="4" fillId="0" borderId="6" xfId="2" applyFont="1" applyBorder="1" applyAlignment="1">
      <alignment horizontal="left" vertical="center" wrapText="1"/>
    </xf>
    <xf numFmtId="0" fontId="4" fillId="0" borderId="0" xfId="2" applyFont="1" applyFill="1"/>
    <xf numFmtId="0" fontId="4" fillId="0" borderId="0" xfId="2" applyFont="1" applyFill="1" applyBorder="1" applyAlignment="1" applyProtection="1">
      <alignment horizontal="center" vertical="center"/>
      <protection locked="0"/>
    </xf>
    <xf numFmtId="0" fontId="4" fillId="0" borderId="0" xfId="2" applyFont="1" applyFill="1" applyBorder="1" applyAlignment="1" applyProtection="1">
      <alignment horizontal="center"/>
      <protection locked="0"/>
    </xf>
    <xf numFmtId="0" fontId="4" fillId="0" borderId="0" xfId="2" applyFont="1" applyFill="1" applyBorder="1"/>
    <xf numFmtId="0" fontId="4" fillId="0" borderId="0" xfId="2" applyFont="1" applyFill="1" applyBorder="1" applyProtection="1">
      <protection locked="0"/>
    </xf>
    <xf numFmtId="0" fontId="4" fillId="0" borderId="0" xfId="2" applyFont="1" applyBorder="1" applyProtection="1">
      <protection locked="0"/>
    </xf>
    <xf numFmtId="0" fontId="4" fillId="0" borderId="0" xfId="2" applyFont="1" applyBorder="1"/>
    <xf numFmtId="167" fontId="4" fillId="0" borderId="0" xfId="1" applyNumberFormat="1" applyFont="1" applyBorder="1" applyAlignment="1" applyProtection="1">
      <alignment horizontal="center" vertical="center"/>
      <protection locked="0"/>
    </xf>
    <xf numFmtId="0" fontId="4" fillId="0" borderId="0" xfId="2" applyFont="1" applyBorder="1" applyAlignment="1" applyProtection="1">
      <alignment horizontal="center"/>
      <protection locked="0"/>
    </xf>
    <xf numFmtId="0" fontId="4" fillId="0" borderId="0" xfId="2" applyFont="1" applyBorder="1" applyAlignment="1" applyProtection="1">
      <alignment horizontal="center" vertical="center"/>
      <protection locked="0"/>
    </xf>
    <xf numFmtId="0" fontId="4" fillId="0" borderId="6" xfId="2" applyFont="1" applyBorder="1" applyAlignment="1">
      <alignment horizontal="left" vertical="center" wrapText="1"/>
    </xf>
    <xf numFmtId="0" fontId="4" fillId="3" borderId="1" xfId="2" applyFont="1" applyFill="1" applyBorder="1" applyAlignment="1" applyProtection="1">
      <alignment horizontal="center" vertical="center"/>
      <protection locked="0"/>
    </xf>
    <xf numFmtId="0" fontId="4" fillId="3" borderId="1" xfId="2" applyFont="1" applyFill="1" applyBorder="1" applyAlignment="1" applyProtection="1">
      <alignment horizontal="center" vertical="center"/>
      <protection locked="0"/>
    </xf>
    <xf numFmtId="0" fontId="4" fillId="3" borderId="0" xfId="2" applyFont="1" applyFill="1"/>
    <xf numFmtId="0" fontId="5" fillId="0" borderId="12" xfId="2" applyFont="1" applyBorder="1"/>
    <xf numFmtId="0" fontId="4" fillId="0" borderId="4" xfId="2" applyFont="1" applyBorder="1" applyAlignment="1">
      <alignment horizontal="center"/>
    </xf>
    <xf numFmtId="0" fontId="4" fillId="0" borderId="4" xfId="2" applyFont="1" applyBorder="1"/>
    <xf numFmtId="0" fontId="4" fillId="3" borderId="1" xfId="2" applyFont="1" applyFill="1" applyBorder="1" applyAlignment="1" applyProtection="1">
      <alignment horizontal="center" vertical="center"/>
      <protection locked="0"/>
    </xf>
    <xf numFmtId="0" fontId="4" fillId="7" borderId="1" xfId="2" applyFont="1" applyFill="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3" fontId="4" fillId="0" borderId="1" xfId="2" applyNumberFormat="1" applyFont="1" applyFill="1" applyBorder="1" applyAlignment="1" applyProtection="1">
      <alignment horizontal="center"/>
      <protection locked="0"/>
    </xf>
    <xf numFmtId="43" fontId="0" fillId="0" borderId="1" xfId="1" applyFont="1" applyBorder="1"/>
    <xf numFmtId="164" fontId="0" fillId="0" borderId="1" xfId="1" applyNumberFormat="1" applyFont="1" applyBorder="1"/>
    <xf numFmtId="0" fontId="9" fillId="4" borderId="1" xfId="0" applyFont="1" applyFill="1" applyBorder="1" applyAlignment="1">
      <alignment horizontal="center"/>
    </xf>
    <xf numFmtId="0" fontId="0" fillId="6" borderId="0" xfId="0" applyFill="1"/>
    <xf numFmtId="0" fontId="10" fillId="8" borderId="0" xfId="0" applyFont="1" applyFill="1" applyBorder="1"/>
    <xf numFmtId="0" fontId="15" fillId="8" borderId="0" xfId="0" applyFont="1" applyFill="1" applyBorder="1" applyAlignment="1">
      <alignment horizontal="left"/>
    </xf>
    <xf numFmtId="0" fontId="17" fillId="6" borderId="0" xfId="0" applyFont="1" applyFill="1" applyBorder="1" applyAlignment="1">
      <alignment horizontal="left"/>
    </xf>
    <xf numFmtId="0" fontId="15" fillId="8" borderId="0" xfId="0" applyFont="1" applyFill="1" applyBorder="1" applyAlignment="1">
      <alignment horizontal="left" vertical="center"/>
    </xf>
    <xf numFmtId="0" fontId="17" fillId="6" borderId="0" xfId="0" applyFont="1" applyFill="1" applyBorder="1" applyAlignment="1">
      <alignment horizontal="left" vertical="center"/>
    </xf>
    <xf numFmtId="171" fontId="15" fillId="8" borderId="0" xfId="1" applyNumberFormat="1" applyFont="1" applyFill="1" applyBorder="1" applyAlignment="1">
      <alignment vertical="center"/>
    </xf>
    <xf numFmtId="171" fontId="16" fillId="8" borderId="0" xfId="1" applyNumberFormat="1" applyFont="1" applyFill="1" applyBorder="1" applyAlignment="1">
      <alignment vertical="center"/>
    </xf>
    <xf numFmtId="0" fontId="15" fillId="5" borderId="0" xfId="0" applyFont="1" applyFill="1" applyBorder="1"/>
    <xf numFmtId="0" fontId="16" fillId="5" borderId="0" xfId="0" applyFont="1" applyFill="1" applyBorder="1"/>
    <xf numFmtId="0" fontId="0" fillId="5" borderId="0" xfId="0" applyFill="1" applyBorder="1"/>
    <xf numFmtId="0" fontId="15" fillId="5" borderId="10" xfId="0" applyFont="1" applyFill="1" applyBorder="1"/>
    <xf numFmtId="0" fontId="17" fillId="5" borderId="0" xfId="0" applyFont="1" applyFill="1" applyBorder="1"/>
    <xf numFmtId="0" fontId="18" fillId="8" borderId="0" xfId="0" applyFont="1" applyFill="1" applyBorder="1" applyAlignment="1">
      <alignment horizontal="right" vertical="center"/>
    </xf>
    <xf numFmtId="170" fontId="18" fillId="8" borderId="0" xfId="0" applyNumberFormat="1" applyFont="1" applyFill="1" applyBorder="1" applyAlignment="1">
      <alignment horizontal="left" vertical="center"/>
    </xf>
    <xf numFmtId="0" fontId="17" fillId="5" borderId="0" xfId="0" applyFont="1" applyFill="1" applyBorder="1" applyAlignment="1">
      <alignment horizontal="right"/>
    </xf>
    <xf numFmtId="0" fontId="16" fillId="8" borderId="0" xfId="0" applyFont="1" applyFill="1" applyBorder="1" applyAlignment="1">
      <alignment vertical="center"/>
    </xf>
    <xf numFmtId="0" fontId="16" fillId="8" borderId="0" xfId="0" applyFont="1" applyFill="1" applyBorder="1"/>
    <xf numFmtId="0" fontId="0" fillId="0" borderId="1" xfId="0" applyFill="1" applyBorder="1"/>
    <xf numFmtId="0" fontId="5" fillId="0" borderId="8" xfId="2" applyFont="1" applyFill="1" applyBorder="1" applyAlignment="1">
      <alignment vertical="center"/>
    </xf>
    <xf numFmtId="164" fontId="0" fillId="5" borderId="0" xfId="1" applyNumberFormat="1" applyFont="1" applyFill="1"/>
    <xf numFmtId="0" fontId="4" fillId="0" borderId="1" xfId="2" applyFont="1" applyBorder="1" applyAlignment="1">
      <alignment horizontal="left" vertical="center" wrapText="1"/>
    </xf>
    <xf numFmtId="0" fontId="5" fillId="3" borderId="13" xfId="2" applyFont="1" applyFill="1" applyBorder="1" applyAlignment="1">
      <alignment horizontal="left" vertical="center"/>
    </xf>
    <xf numFmtId="0" fontId="4" fillId="3" borderId="4" xfId="2" applyFont="1" applyFill="1" applyBorder="1" applyAlignment="1">
      <alignment vertical="center" wrapText="1"/>
    </xf>
    <xf numFmtId="0" fontId="4" fillId="9" borderId="4" xfId="2" applyFont="1" applyFill="1" applyBorder="1" applyAlignment="1">
      <alignment vertical="center" wrapText="1"/>
    </xf>
    <xf numFmtId="0" fontId="5" fillId="0" borderId="2" xfId="2" applyFont="1" applyFill="1" applyBorder="1"/>
    <xf numFmtId="0" fontId="19" fillId="5" borderId="0" xfId="0" applyFont="1" applyFill="1" applyBorder="1"/>
    <xf numFmtId="172" fontId="20" fillId="5" borderId="0" xfId="0" applyNumberFormat="1" applyFont="1" applyFill="1" applyBorder="1"/>
    <xf numFmtId="0" fontId="0" fillId="5" borderId="0" xfId="0" applyFont="1" applyFill="1"/>
    <xf numFmtId="171" fontId="17" fillId="6" borderId="0" xfId="1" applyNumberFormat="1" applyFont="1" applyFill="1" applyBorder="1" applyAlignment="1">
      <alignment vertical="center"/>
    </xf>
    <xf numFmtId="0" fontId="0" fillId="3" borderId="0" xfId="0" applyNumberFormat="1" applyFill="1"/>
    <xf numFmtId="43" fontId="0" fillId="0" borderId="0" xfId="1" applyNumberFormat="1" applyFont="1"/>
    <xf numFmtId="164" fontId="15" fillId="5" borderId="14" xfId="1" applyNumberFormat="1" applyFont="1" applyFill="1" applyBorder="1" applyProtection="1">
      <protection locked="0"/>
    </xf>
    <xf numFmtId="164" fontId="15" fillId="5" borderId="15" xfId="1" applyNumberFormat="1" applyFont="1" applyFill="1" applyBorder="1" applyProtection="1">
      <protection locked="0"/>
    </xf>
    <xf numFmtId="164" fontId="15" fillId="5" borderId="0" xfId="1" applyNumberFormat="1" applyFont="1" applyFill="1" applyBorder="1" applyProtection="1"/>
    <xf numFmtId="43" fontId="15" fillId="5" borderId="14" xfId="1" applyNumberFormat="1" applyFont="1" applyFill="1" applyBorder="1" applyProtection="1">
      <protection locked="0"/>
    </xf>
    <xf numFmtId="2" fontId="0" fillId="0" borderId="0" xfId="0" applyNumberFormat="1"/>
    <xf numFmtId="0" fontId="4" fillId="0" borderId="1" xfId="2" applyFont="1" applyFill="1" applyBorder="1" applyAlignment="1">
      <alignment horizontal="left" vertical="center" wrapText="1"/>
    </xf>
    <xf numFmtId="0" fontId="4" fillId="0" borderId="9" xfId="2" applyFont="1" applyBorder="1" applyAlignment="1" applyProtection="1">
      <alignment horizontal="center" vertical="center"/>
      <protection locked="0"/>
    </xf>
    <xf numFmtId="0" fontId="4" fillId="0" borderId="9" xfId="2" applyFont="1" applyBorder="1" applyAlignment="1">
      <alignment horizontal="center" vertical="center"/>
    </xf>
    <xf numFmtId="0" fontId="4" fillId="0" borderId="9" xfId="2" applyFont="1" applyFill="1" applyBorder="1" applyAlignment="1">
      <alignment horizontal="left" vertical="center" wrapText="1"/>
    </xf>
    <xf numFmtId="0" fontId="4" fillId="10" borderId="1" xfId="2" applyFont="1" applyFill="1" applyBorder="1"/>
    <xf numFmtId="0" fontId="4" fillId="10" borderId="1" xfId="2" applyFont="1" applyFill="1" applyBorder="1" applyAlignment="1" applyProtection="1">
      <alignment horizontal="center"/>
      <protection locked="0"/>
    </xf>
    <xf numFmtId="0" fontId="4" fillId="10" borderId="1" xfId="2" applyFont="1" applyFill="1" applyBorder="1" applyProtection="1">
      <protection locked="0"/>
    </xf>
    <xf numFmtId="0" fontId="3" fillId="10" borderId="1" xfId="2" applyFont="1" applyFill="1" applyBorder="1"/>
    <xf numFmtId="0" fontId="4" fillId="10" borderId="1" xfId="2" applyFont="1" applyFill="1" applyBorder="1" applyAlignment="1">
      <alignment horizontal="center"/>
    </xf>
    <xf numFmtId="0" fontId="13" fillId="6" borderId="10" xfId="2" applyFont="1" applyFill="1" applyBorder="1" applyAlignment="1">
      <alignment horizontal="center"/>
    </xf>
    <xf numFmtId="0" fontId="4" fillId="3" borderId="4" xfId="2" applyFont="1" applyFill="1" applyBorder="1" applyAlignment="1" applyProtection="1">
      <alignment horizontal="center" vertical="center" wrapText="1"/>
      <protection locked="0"/>
    </xf>
    <xf numFmtId="0" fontId="4" fillId="3" borderId="6" xfId="2" applyFont="1" applyFill="1" applyBorder="1" applyAlignment="1" applyProtection="1">
      <alignment horizontal="center" vertical="center" wrapText="1"/>
      <protection locked="0"/>
    </xf>
    <xf numFmtId="0" fontId="4" fillId="0" borderId="1" xfId="2" applyFont="1" applyBorder="1" applyAlignment="1">
      <alignment horizontal="left" vertical="center"/>
    </xf>
    <xf numFmtId="0" fontId="5" fillId="3" borderId="3" xfId="2" applyFont="1" applyFill="1" applyBorder="1" applyAlignment="1">
      <alignment horizontal="left" vertical="center"/>
    </xf>
    <xf numFmtId="0" fontId="5" fillId="3" borderId="5" xfId="2" applyFont="1" applyFill="1" applyBorder="1" applyAlignment="1">
      <alignment horizontal="left" vertical="center"/>
    </xf>
    <xf numFmtId="0" fontId="5" fillId="3" borderId="7" xfId="2" applyFont="1" applyFill="1" applyBorder="1" applyAlignment="1">
      <alignment horizontal="left" vertical="center"/>
    </xf>
    <xf numFmtId="0" fontId="4" fillId="7" borderId="1" xfId="2" applyFont="1" applyFill="1" applyBorder="1" applyAlignment="1" applyProtection="1">
      <alignment horizontal="center" vertical="center"/>
      <protection locked="0"/>
    </xf>
    <xf numFmtId="0" fontId="4" fillId="3" borderId="1" xfId="2" applyFont="1" applyFill="1" applyBorder="1" applyAlignment="1" applyProtection="1">
      <alignment horizontal="center" vertical="center"/>
      <protection locked="0"/>
    </xf>
    <xf numFmtId="0" fontId="6" fillId="0" borderId="1" xfId="2" applyFont="1" applyBorder="1" applyAlignment="1">
      <alignment horizontal="center"/>
    </xf>
    <xf numFmtId="0" fontId="4" fillId="0" borderId="1" xfId="2" applyFont="1" applyBorder="1" applyAlignment="1">
      <alignment horizontal="left" vertical="center" wrapText="1"/>
    </xf>
    <xf numFmtId="0" fontId="4" fillId="0" borderId="4" xfId="2" applyFont="1" applyBorder="1" applyAlignment="1">
      <alignment horizontal="left" vertical="center" wrapText="1"/>
    </xf>
    <xf numFmtId="0" fontId="4" fillId="0" borderId="9" xfId="2" applyFont="1" applyBorder="1" applyAlignment="1">
      <alignment horizontal="left" vertical="center" wrapText="1"/>
    </xf>
    <xf numFmtId="0" fontId="4" fillId="0" borderId="6" xfId="2" applyFont="1" applyBorder="1" applyAlignment="1">
      <alignment horizontal="left" vertical="center" wrapText="1"/>
    </xf>
    <xf numFmtId="0" fontId="5" fillId="3" borderId="1" xfId="2" applyFont="1" applyFill="1" applyBorder="1" applyAlignment="1">
      <alignment horizontal="left" vertical="center"/>
    </xf>
    <xf numFmtId="0" fontId="13" fillId="6" borderId="1" xfId="2" applyFont="1" applyFill="1" applyBorder="1" applyAlignment="1">
      <alignment horizontal="center"/>
    </xf>
    <xf numFmtId="0" fontId="4" fillId="0" borderId="1" xfId="2" applyFont="1" applyFill="1" applyBorder="1" applyAlignment="1">
      <alignment horizontal="left" vertical="center" wrapText="1"/>
    </xf>
    <xf numFmtId="0" fontId="11" fillId="6" borderId="10" xfId="2" applyFont="1" applyFill="1" applyBorder="1" applyAlignment="1">
      <alignment horizontal="center"/>
    </xf>
    <xf numFmtId="0" fontId="4" fillId="0" borderId="4"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center" vertical="center" wrapText="1"/>
    </xf>
    <xf numFmtId="0" fontId="4" fillId="0" borderId="9" xfId="2" applyFont="1" applyBorder="1" applyAlignment="1">
      <alignment horizontal="center" vertical="center" wrapText="1"/>
    </xf>
    <xf numFmtId="0" fontId="4" fillId="0" borderId="6" xfId="2" applyFont="1" applyBorder="1" applyAlignment="1">
      <alignment horizontal="center" vertical="center" wrapText="1"/>
    </xf>
    <xf numFmtId="0" fontId="5" fillId="0" borderId="3" xfId="2" applyFont="1" applyFill="1" applyBorder="1" applyAlignment="1">
      <alignment horizontal="left" vertical="center"/>
    </xf>
    <xf numFmtId="0" fontId="5" fillId="0" borderId="7" xfId="2" applyFont="1" applyFill="1" applyBorder="1" applyAlignment="1">
      <alignment horizontal="left" vertical="center"/>
    </xf>
    <xf numFmtId="0" fontId="5" fillId="0" borderId="5" xfId="2" applyFont="1" applyFill="1" applyBorder="1" applyAlignment="1">
      <alignment horizontal="left" vertical="center"/>
    </xf>
    <xf numFmtId="0" fontId="13" fillId="6" borderId="10" xfId="2" applyFont="1" applyFill="1" applyBorder="1" applyAlignment="1">
      <alignment horizontal="center" wrapText="1"/>
    </xf>
    <xf numFmtId="0" fontId="4" fillId="0" borderId="4"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9" borderId="1" xfId="2" applyFont="1" applyFill="1" applyBorder="1" applyAlignment="1">
      <alignment horizontal="left" vertical="center" wrapText="1"/>
    </xf>
    <xf numFmtId="0" fontId="4" fillId="3" borderId="1" xfId="2" applyFont="1" applyFill="1" applyBorder="1" applyAlignment="1">
      <alignment horizontal="left" vertical="center" wrapText="1"/>
    </xf>
    <xf numFmtId="0" fontId="4" fillId="9" borderId="4" xfId="2" applyFont="1" applyFill="1" applyBorder="1" applyAlignment="1">
      <alignment horizontal="left" vertical="center" wrapText="1"/>
    </xf>
    <xf numFmtId="0" fontId="4" fillId="9" borderId="9" xfId="2" applyFont="1" applyFill="1" applyBorder="1" applyAlignment="1">
      <alignment horizontal="left" vertical="center" wrapText="1"/>
    </xf>
    <xf numFmtId="0" fontId="4" fillId="9" borderId="6" xfId="2" applyFont="1" applyFill="1" applyBorder="1" applyAlignment="1">
      <alignment horizontal="left" vertical="center" wrapText="1"/>
    </xf>
    <xf numFmtId="0" fontId="4" fillId="0" borderId="10" xfId="2" applyFont="1" applyBorder="1" applyAlignment="1">
      <alignment horizontal="center"/>
    </xf>
    <xf numFmtId="0" fontId="4" fillId="0" borderId="9" xfId="2" applyFont="1" applyBorder="1" applyAlignment="1">
      <alignment horizontal="center" vertical="center"/>
    </xf>
    <xf numFmtId="0" fontId="4" fillId="0" borderId="4" xfId="2" applyFont="1" applyFill="1" applyBorder="1" applyAlignment="1" applyProtection="1">
      <alignment horizontal="center" vertical="center"/>
      <protection locked="0"/>
    </xf>
    <xf numFmtId="0" fontId="4" fillId="0" borderId="9" xfId="2" applyFont="1" applyFill="1" applyBorder="1" applyAlignment="1" applyProtection="1">
      <alignment horizontal="center" vertical="center"/>
      <protection locked="0"/>
    </xf>
    <xf numFmtId="0" fontId="4" fillId="0" borderId="6" xfId="2" applyFont="1" applyFill="1" applyBorder="1" applyAlignment="1" applyProtection="1">
      <alignment horizontal="center" vertical="center"/>
      <protection locked="0"/>
    </xf>
    <xf numFmtId="0" fontId="4" fillId="0" borderId="4"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6" xfId="2" applyFont="1" applyFill="1" applyBorder="1" applyAlignment="1">
      <alignment horizontal="center" vertical="center"/>
    </xf>
    <xf numFmtId="0" fontId="5" fillId="0" borderId="11" xfId="2" applyFont="1" applyFill="1" applyBorder="1" applyAlignment="1">
      <alignment horizontal="left" vertical="center"/>
    </xf>
  </cellXfs>
  <cellStyles count="5">
    <cellStyle name="Comma" xfId="1" builtinId="3"/>
    <cellStyle name="Comma 2" xfId="3" xr:uid="{F8681645-4D6F-447E-8555-73A0240D7E0B}"/>
    <cellStyle name="Normal" xfId="0" builtinId="0"/>
    <cellStyle name="Normal 2" xfId="2" xr:uid="{AF758AC8-F7D4-44D2-BD19-729D4DE9F1DC}"/>
    <cellStyle name="Percent" xfId="4" builtinId="5"/>
  </cellStyles>
  <dxfs count="150">
    <dxf>
      <numFmt numFmtId="35" formatCode="_ * #,##0.00_ ;_ * \-#,##0.00_ ;_ * &quot;-&quot;??_ ;_ @_ "/>
    </dxf>
    <dxf>
      <numFmt numFmtId="0" formatCode="General"/>
    </dxf>
    <dxf>
      <numFmt numFmtId="0" formatCode="General"/>
    </dxf>
    <dxf>
      <font>
        <b val="0"/>
        <i val="0"/>
        <strike val="0"/>
        <condense val="0"/>
        <extend val="0"/>
        <outline val="0"/>
        <shadow val="0"/>
        <u val="none"/>
        <vertAlign val="baseline"/>
        <sz val="11"/>
        <color theme="1"/>
        <name val="Calibri"/>
        <family val="2"/>
        <scheme val="minor"/>
      </font>
      <numFmt numFmtId="164" formatCode="_ * #,##0_ ;_ * \-#,##0_ ;_ * &quot;-&quot;??_ ;_ @_ "/>
    </dxf>
    <dxf>
      <numFmt numFmtId="166" formatCode="0.000000"/>
    </dxf>
    <dxf>
      <numFmt numFmtId="166" formatCode="0.000000"/>
    </dxf>
    <dxf>
      <numFmt numFmtId="0" formatCode="General"/>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none">
          <fgColor indexed="64"/>
          <bgColor auto="1"/>
        </patternFill>
      </fill>
    </dxf>
    <dxf>
      <numFmt numFmtId="0" formatCode="General"/>
    </dxf>
    <dxf>
      <numFmt numFmtId="173" formatCode="_-[$$-409]* #,##0.00_ ;_-[$$-409]* \-#,##0.00\ ;_-[$$-409]* &quot;-&quot;??_ ;_-@_ "/>
    </dxf>
    <dxf>
      <numFmt numFmtId="174" formatCode="_-[$$-409]* #,##0_ ;_-[$$-409]* \-#,##0\ ;_-[$$-409]* &quot;-&quot;_ ;_-@_ "/>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color theme="1"/>
      </font>
      <border>
        <bottom style="thin">
          <color theme="4"/>
        </bottom>
        <vertical/>
        <horizontal/>
      </border>
    </dxf>
    <dxf>
      <font>
        <b/>
        <i val="0"/>
        <sz val="11"/>
        <color theme="1"/>
        <name val="Adani Regular"/>
        <scheme val="none"/>
      </font>
      <fill>
        <patternFill>
          <bgColor theme="3"/>
        </patternFill>
      </fill>
      <border diagonalUp="0" diagonalDown="0">
        <left/>
        <right/>
        <top/>
        <bottom/>
        <vertical/>
        <horizontal/>
      </border>
    </dxf>
    <dxf>
      <font>
        <b/>
        <color theme="1"/>
      </font>
      <border>
        <bottom style="thin">
          <color theme="4"/>
        </bottom>
        <vertical/>
        <horizontal/>
      </border>
    </dxf>
    <dxf>
      <font>
        <b/>
        <i val="0"/>
        <sz val="9"/>
        <color theme="1"/>
      </font>
      <fill>
        <gradientFill degree="270">
          <stop position="0">
            <color theme="0"/>
          </stop>
          <stop position="1">
            <color theme="4"/>
          </stop>
        </gradientFill>
      </fill>
      <border diagonalUp="0" diagonalDown="0">
        <left/>
        <right/>
        <top/>
        <bottom/>
        <vertical/>
        <horizontal/>
      </border>
    </dxf>
    <dxf>
      <font>
        <b/>
        <color theme="1"/>
      </font>
      <border>
        <bottom style="thin">
          <color theme="4"/>
        </bottom>
        <vertical/>
        <horizontal/>
      </border>
    </dxf>
    <dxf>
      <font>
        <b/>
        <i val="0"/>
        <sz val="11"/>
        <color theme="1"/>
        <name val="Adani Regular"/>
        <scheme val="none"/>
      </font>
      <fill>
        <patternFill patternType="solid">
          <bgColor theme="4"/>
        </patternFill>
      </fill>
      <border diagonalUp="0" diagonalDown="0">
        <left/>
        <right/>
        <top/>
        <bottom/>
        <vertical/>
        <horizontal/>
      </border>
    </dxf>
    <dxf>
      <font>
        <b/>
        <color theme="1"/>
      </font>
      <border>
        <bottom style="thin">
          <color theme="4"/>
        </bottom>
        <vertical/>
        <horizontal/>
      </border>
    </dxf>
    <dxf>
      <font>
        <b/>
        <i val="0"/>
        <sz val="11"/>
        <color theme="1"/>
        <name val="Adani Regular"/>
        <scheme val="none"/>
      </font>
      <border diagonalUp="0" diagonalDown="0">
        <left/>
        <right/>
        <top/>
        <bottom/>
        <vertical/>
        <horizontal/>
      </border>
    </dxf>
    <dxf>
      <font>
        <b/>
        <color theme="1"/>
      </font>
      <border>
        <bottom style="thin">
          <color theme="4"/>
        </bottom>
        <vertical/>
        <horizontal/>
      </border>
    </dxf>
    <dxf>
      <font>
        <b/>
        <i val="0"/>
        <sz val="9"/>
        <color theme="1"/>
      </font>
      <border diagonalUp="0" diagonalDown="0">
        <left/>
        <right/>
        <top/>
        <bottom/>
        <vertical/>
        <horizontal/>
      </border>
    </dxf>
    <dxf>
      <font>
        <b/>
        <color theme="1"/>
      </font>
      <border>
        <bottom style="thin">
          <color theme="4"/>
        </bottom>
        <vertical/>
        <horizontal/>
      </border>
    </dxf>
    <dxf>
      <font>
        <b/>
        <i val="0"/>
        <sz val="11"/>
        <color theme="1"/>
        <name val="Adani Regular"/>
        <scheme val="none"/>
      </font>
      <fill>
        <patternFill>
          <bgColor theme="3"/>
        </patternFill>
      </fill>
      <border diagonalUp="0" diagonalDown="0">
        <left/>
        <right/>
        <top/>
        <bottom/>
        <vertical/>
        <horizontal/>
      </border>
    </dxf>
  </dxfs>
  <tableStyles count="6" defaultTableStyle="TableStyleMedium2" defaultPivotStyle="PivotStyleLight16">
    <tableStyle name="Currency" pivot="0" table="0" count="10" xr9:uid="{39A615B5-BF24-4854-9DF6-6B7B439589BF}">
      <tableStyleElement type="wholeTable" dxfId="149"/>
      <tableStyleElement type="headerRow" dxfId="148"/>
    </tableStyle>
    <tableStyle name="Global 1" pivot="0" table="0" count="10" xr9:uid="{F990E70F-EEF9-4AE8-B6F0-1B0A60879A65}">
      <tableStyleElement type="wholeTable" dxfId="147"/>
      <tableStyleElement type="headerRow" dxfId="146"/>
    </tableStyle>
    <tableStyle name="Location" pivot="0" table="0" count="10" xr9:uid="{D149E623-08ED-4D8B-828F-21C773AAA86D}">
      <tableStyleElement type="wholeTable" dxfId="145"/>
      <tableStyleElement type="headerRow" dxfId="144"/>
    </tableStyle>
    <tableStyle name="Run" pivot="0" table="0" count="10" xr9:uid="{7B5A98C3-F449-4507-953E-FF70C1BC3EBA}">
      <tableStyleElement type="wholeTable" dxfId="143"/>
      <tableStyleElement type="headerRow" dxfId="142"/>
    </tableStyle>
    <tableStyle name="Tariff Calc2" pivot="0" table="0" count="10" xr9:uid="{4EE7E286-DFC4-4011-997D-B79FE8E1A2FB}">
      <tableStyleElement type="wholeTable" dxfId="141"/>
      <tableStyleElement type="headerRow" dxfId="140"/>
    </tableStyle>
    <tableStyle name="Vessel_Type" pivot="0" table="0" count="10" xr9:uid="{47155B15-8349-4D3E-A9EE-3B803C063F68}">
      <tableStyleElement type="wholeTable" dxfId="139"/>
      <tableStyleElement type="headerRow" dxfId="138"/>
    </tableStyle>
  </tableStyles>
  <colors>
    <mruColors>
      <color rgb="FF3A4A60"/>
      <color rgb="FF546882"/>
    </mruColors>
  </colors>
  <extLst>
    <ext xmlns:x14="http://schemas.microsoft.com/office/spreadsheetml/2009/9/main" uri="{46F421CA-312F-682f-3DD2-61675219B42D}">
      <x14:dxfs count="4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4"/>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sz val="14"/>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val="0"/>
            <i val="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4"/>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sz val="14"/>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4"/>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val="0"/>
            <i val="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sz val="18"/>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theme="4" tint="-0.249977111117893"/>
            <name val="72 Light"/>
            <family val="2"/>
            <scheme val="none"/>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8"/>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sz val="18"/>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sz val="18"/>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Currency">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Global 1">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Location">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Run">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Tariff Calc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Vessel_Typ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1.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microsoft.com/office/2007/relationships/slicerCache" Target="slicerCaches/slicerCache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microsoft.com/office/2007/relationships/slicerCache" Target="slicerCaches/slicerCache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5.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US" sz="1050" b="1"/>
              <a:t>Tentetive Vessel Cost (in crores)</a:t>
            </a:r>
          </a:p>
        </c:rich>
      </c:tx>
      <c:layout>
        <c:manualLayout>
          <c:xMode val="edge"/>
          <c:yMode val="edge"/>
          <c:x val="6.8092738407699041E-2"/>
          <c:y val="2.0869541566371566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AllPorts!$U$1</c:f>
              <c:strCache>
                <c:ptCount val="1"/>
                <c:pt idx="0">
                  <c:v>VRC</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AllPorts!$R$2:$R$10</c:f>
              <c:strCache>
                <c:ptCount val="9"/>
                <c:pt idx="0">
                  <c:v>MUNDRA</c:v>
                </c:pt>
                <c:pt idx="1">
                  <c:v>HAZIRA</c:v>
                </c:pt>
                <c:pt idx="2">
                  <c:v>DAHEJ</c:v>
                </c:pt>
                <c:pt idx="3">
                  <c:v>DHAMRA</c:v>
                </c:pt>
                <c:pt idx="4">
                  <c:v>KATTUPALLI</c:v>
                </c:pt>
                <c:pt idx="5">
                  <c:v>KRISHNAPTNM</c:v>
                </c:pt>
                <c:pt idx="6">
                  <c:v>DIGHI</c:v>
                </c:pt>
                <c:pt idx="7">
                  <c:v>GANGAVARAM</c:v>
                </c:pt>
                <c:pt idx="8">
                  <c:v>KARAIKAL</c:v>
                </c:pt>
              </c:strCache>
            </c:strRef>
          </c:cat>
          <c:val>
            <c:numRef>
              <c:f>AllPorts!$U$2:$U$10</c:f>
              <c:numCache>
                <c:formatCode>_(* #,##0.00_);_(* \(#,##0.00\);_(* "-"??_);_(@_)</c:formatCode>
                <c:ptCount val="9"/>
                <c:pt idx="0">
                  <c:v>0.86496955999999992</c:v>
                </c:pt>
                <c:pt idx="1">
                  <c:v>1.0509792000000002</c:v>
                </c:pt>
                <c:pt idx="2">
                  <c:v>1.0684689599999999</c:v>
                </c:pt>
                <c:pt idx="3">
                  <c:v>1.7118756639999997</c:v>
                </c:pt>
                <c:pt idx="4">
                  <c:v>0.72920479999999999</c:v>
                </c:pt>
                <c:pt idx="5">
                  <c:v>1.3981982980493</c:v>
                </c:pt>
                <c:pt idx="6">
                  <c:v>1.1671128</c:v>
                </c:pt>
                <c:pt idx="7">
                  <c:v>1.3692449999999996</c:v>
                </c:pt>
                <c:pt idx="8">
                  <c:v>1.38815176</c:v>
                </c:pt>
              </c:numCache>
            </c:numRef>
          </c:val>
          <c:extLst>
            <c:ext xmlns:c16="http://schemas.microsoft.com/office/drawing/2014/chart" uri="{C3380CC4-5D6E-409C-BE32-E72D297353CC}">
              <c16:uniqueId val="{00000000-1920-4595-8E8B-67C6A80D8C2D}"/>
            </c:ext>
          </c:extLst>
        </c:ser>
        <c:dLbls>
          <c:showLegendKey val="0"/>
          <c:showVal val="0"/>
          <c:showCatName val="0"/>
          <c:showSerName val="0"/>
          <c:showPercent val="0"/>
          <c:showBubbleSize val="0"/>
        </c:dLbls>
        <c:gapWidth val="182"/>
        <c:axId val="81724944"/>
        <c:axId val="81723280"/>
      </c:barChart>
      <c:catAx>
        <c:axId val="8172494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1723280"/>
        <c:crosses val="autoZero"/>
        <c:auto val="1"/>
        <c:lblAlgn val="ctr"/>
        <c:lblOffset val="100"/>
        <c:noMultiLvlLbl val="0"/>
      </c:catAx>
      <c:valAx>
        <c:axId val="81723280"/>
        <c:scaling>
          <c:orientation val="minMax"/>
        </c:scaling>
        <c:delete val="1"/>
        <c:axPos val="b"/>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crossAx val="81724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15</xdr:col>
      <xdr:colOff>321120</xdr:colOff>
      <xdr:row>14</xdr:row>
      <xdr:rowOff>268499</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76200"/>
          <a:ext cx="14273340" cy="5145299"/>
          <a:chOff x="0" y="76200"/>
          <a:chExt cx="14273340" cy="5145299"/>
        </a:xfrm>
      </xdr:grpSpPr>
      <mc:AlternateContent xmlns:mc="http://schemas.openxmlformats.org/markup-compatibility/2006" xmlns:a14="http://schemas.microsoft.com/office/drawing/2010/main">
        <mc:Choice Requires="a14">
          <xdr:graphicFrame macro="">
            <xdr:nvGraphicFramePr>
              <xdr:cNvPr id="6" name="TYPE 2">
                <a:extLst>
                  <a:ext uri="{FF2B5EF4-FFF2-40B4-BE49-F238E27FC236}">
                    <a16:creationId xmlns:a16="http://schemas.microsoft.com/office/drawing/2014/main" id="{00000000-0008-0000-0E00-000006000000}"/>
                  </a:ext>
                </a:extLst>
              </xdr:cNvPr>
              <xdr:cNvGraphicFramePr>
                <a:graphicFrameLocks noMove="1" noResize="1"/>
              </xdr:cNvGraphicFramePr>
            </xdr:nvGraphicFramePr>
            <xdr:xfrm>
              <a:off x="2168521" y="118110"/>
              <a:ext cx="2137762" cy="608849"/>
            </xdr:xfrm>
            <a:graphic>
              <a:graphicData uri="http://schemas.microsoft.com/office/drawing/2010/slicer">
                <sle:slicer xmlns:sle="http://schemas.microsoft.com/office/drawing/2010/slicer" name="TYPE 2"/>
              </a:graphicData>
            </a:graphic>
          </xdr:graphicFrame>
        </mc:Choice>
        <mc:Fallback xmlns="">
          <xdr:sp macro="" textlink="">
            <xdr:nvSpPr>
              <xdr:cNvPr id="0" name=""/>
              <xdr:cNvSpPr>
                <a:spLocks noTextEdit="1"/>
              </xdr:cNvSpPr>
            </xdr:nvSpPr>
            <xdr:spPr>
              <a:xfrm>
                <a:off x="2168521" y="118110"/>
                <a:ext cx="2137762" cy="6088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xnSp macro="">
        <xdr:nvCxnSpPr>
          <xdr:cNvPr id="2" name="Straight Connector 1">
            <a:extLst>
              <a:ext uri="{FF2B5EF4-FFF2-40B4-BE49-F238E27FC236}">
                <a16:creationId xmlns:a16="http://schemas.microsoft.com/office/drawing/2014/main" id="{00000000-0008-0000-0E00-000002000000}"/>
              </a:ext>
            </a:extLst>
          </xdr:cNvPr>
          <xdr:cNvCxnSpPr/>
        </xdr:nvCxnSpPr>
        <xdr:spPr>
          <a:xfrm flipV="1">
            <a:off x="0" y="2281227"/>
            <a:ext cx="2252442" cy="9434"/>
          </a:xfrm>
          <a:prstGeom prst="line">
            <a:avLst/>
          </a:prstGeom>
        </xdr:spPr>
        <xdr:style>
          <a:lnRef idx="3">
            <a:schemeClr val="accent5"/>
          </a:lnRef>
          <a:fillRef idx="0">
            <a:schemeClr val="accent5"/>
          </a:fillRef>
          <a:effectRef idx="2">
            <a:schemeClr val="accent5"/>
          </a:effectRef>
          <a:fontRef idx="minor">
            <a:schemeClr val="tx1"/>
          </a:fontRef>
        </xdr:style>
      </xdr:cxnSp>
      <mc:AlternateContent xmlns:mc="http://schemas.openxmlformats.org/markup-compatibility/2006" xmlns:a14="http://schemas.microsoft.com/office/drawing/2010/main">
        <mc:Choice Requires="a14">
          <xdr:graphicFrame macro="">
            <xdr:nvGraphicFramePr>
              <xdr:cNvPr id="4" name="PORT 3">
                <a:extLst>
                  <a:ext uri="{FF2B5EF4-FFF2-40B4-BE49-F238E27FC236}">
                    <a16:creationId xmlns:a16="http://schemas.microsoft.com/office/drawing/2014/main" id="{00000000-0008-0000-0E00-000004000000}"/>
                  </a:ext>
                </a:extLst>
              </xdr:cNvPr>
              <xdr:cNvGraphicFramePr>
                <a:graphicFrameLocks noMove="1" noResize="1"/>
              </xdr:cNvGraphicFramePr>
            </xdr:nvGraphicFramePr>
            <xdr:xfrm>
              <a:off x="4536976" y="118110"/>
              <a:ext cx="9736364" cy="648000"/>
            </xdr:xfrm>
            <a:graphic>
              <a:graphicData uri="http://schemas.microsoft.com/office/drawing/2010/slicer">
                <sle:slicer xmlns:sle="http://schemas.microsoft.com/office/drawing/2010/slicer" name="PORT 3"/>
              </a:graphicData>
            </a:graphic>
          </xdr:graphicFrame>
        </mc:Choice>
        <mc:Fallback xmlns="">
          <xdr:sp macro="" textlink="">
            <xdr:nvSpPr>
              <xdr:cNvPr id="0" name=""/>
              <xdr:cNvSpPr>
                <a:spLocks noTextEdit="1"/>
              </xdr:cNvSpPr>
            </xdr:nvSpPr>
            <xdr:spPr>
              <a:xfrm>
                <a:off x="4536976" y="118110"/>
                <a:ext cx="9736364" cy="648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8" name="VESSEL RUN 2">
                <a:extLst>
                  <a:ext uri="{FF2B5EF4-FFF2-40B4-BE49-F238E27FC236}">
                    <a16:creationId xmlns:a16="http://schemas.microsoft.com/office/drawing/2014/main" id="{00000000-0008-0000-0E00-000008000000}"/>
                  </a:ext>
                </a:extLst>
              </xdr:cNvPr>
              <xdr:cNvGraphicFramePr>
                <a:graphicFrameLocks noMove="1" noResize="1"/>
              </xdr:cNvGraphicFramePr>
            </xdr:nvGraphicFramePr>
            <xdr:xfrm>
              <a:off x="138416" y="1029493"/>
              <a:ext cx="1916847" cy="1005925"/>
            </xdr:xfrm>
            <a:graphic>
              <a:graphicData uri="http://schemas.microsoft.com/office/drawing/2010/slicer">
                <sle:slicer xmlns:sle="http://schemas.microsoft.com/office/drawing/2010/slicer" name="VESSEL RUN 2"/>
              </a:graphicData>
            </a:graphic>
          </xdr:graphicFrame>
        </mc:Choice>
        <mc:Fallback xmlns="">
          <xdr:sp macro="" textlink="">
            <xdr:nvSpPr>
              <xdr:cNvPr id="0" name=""/>
              <xdr:cNvSpPr>
                <a:spLocks noTextEdit="1"/>
              </xdr:cNvSpPr>
            </xdr:nvSpPr>
            <xdr:spPr>
              <a:xfrm>
                <a:off x="138416" y="1029493"/>
                <a:ext cx="1916847" cy="10059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5" name="VESSEL TYPE 2">
                <a:extLst>
                  <a:ext uri="{FF2B5EF4-FFF2-40B4-BE49-F238E27FC236}">
                    <a16:creationId xmlns:a16="http://schemas.microsoft.com/office/drawing/2014/main" id="{00000000-0008-0000-0E00-000005000000}"/>
                  </a:ext>
                </a:extLst>
              </xdr:cNvPr>
              <xdr:cNvGraphicFramePr>
                <a:graphicFrameLocks/>
              </xdr:cNvGraphicFramePr>
            </xdr:nvGraphicFramePr>
            <xdr:xfrm>
              <a:off x="153656" y="2596862"/>
              <a:ext cx="1916847" cy="2188498"/>
            </xdr:xfrm>
            <a:graphic>
              <a:graphicData uri="http://schemas.microsoft.com/office/drawing/2010/slicer">
                <sle:slicer xmlns:sle="http://schemas.microsoft.com/office/drawing/2010/slicer" name="VESSEL TYPE 2"/>
              </a:graphicData>
            </a:graphic>
          </xdr:graphicFrame>
        </mc:Choice>
        <mc:Fallback xmlns="">
          <xdr:sp macro="" textlink="">
            <xdr:nvSpPr>
              <xdr:cNvPr id="0" name=""/>
              <xdr:cNvSpPr>
                <a:spLocks noTextEdit="1"/>
              </xdr:cNvSpPr>
            </xdr:nvSpPr>
            <xdr:spPr>
              <a:xfrm>
                <a:off x="153656" y="2596862"/>
                <a:ext cx="1916847" cy="218849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pic>
        <xdr:nvPicPr>
          <xdr:cNvPr id="3" name="Picture 2" descr="Adani Ports">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72" y="142691"/>
            <a:ext cx="1834012" cy="47838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xmlns:a14="http://schemas.microsoft.com/office/drawing/2010/main">
        <mc:Choice Requires="a14">
          <xdr:graphicFrame macro="">
            <xdr:nvGraphicFramePr>
              <xdr:cNvPr id="10" name="CURR">
                <a:extLst>
                  <a:ext uri="{FF2B5EF4-FFF2-40B4-BE49-F238E27FC236}">
                    <a16:creationId xmlns:a16="http://schemas.microsoft.com/office/drawing/2014/main" id="{00000000-0008-0000-0E00-00000A000000}"/>
                  </a:ext>
                </a:extLst>
              </xdr:cNvPr>
              <xdr:cNvGraphicFramePr>
                <a:graphicFrameLocks noMove="1" noResize="1"/>
              </xdr:cNvGraphicFramePr>
            </xdr:nvGraphicFramePr>
            <xdr:xfrm>
              <a:off x="9589168" y="1037058"/>
              <a:ext cx="1484129" cy="423546"/>
            </xdr:xfrm>
            <a:graphic>
              <a:graphicData uri="http://schemas.microsoft.com/office/drawing/2010/slicer">
                <sle:slicer xmlns:sle="http://schemas.microsoft.com/office/drawing/2010/slicer" name="CURR"/>
              </a:graphicData>
            </a:graphic>
          </xdr:graphicFrame>
        </mc:Choice>
        <mc:Fallback xmlns="">
          <xdr:sp macro="" textlink="">
            <xdr:nvSpPr>
              <xdr:cNvPr id="0" name=""/>
              <xdr:cNvSpPr>
                <a:spLocks noTextEdit="1"/>
              </xdr:cNvSpPr>
            </xdr:nvSpPr>
            <xdr:spPr>
              <a:xfrm>
                <a:off x="9589168" y="1037058"/>
                <a:ext cx="1484129" cy="4235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xnSp macro="">
        <xdr:nvCxnSpPr>
          <xdr:cNvPr id="11" name="Straight Connector 10">
            <a:extLst>
              <a:ext uri="{FF2B5EF4-FFF2-40B4-BE49-F238E27FC236}">
                <a16:creationId xmlns:a16="http://schemas.microsoft.com/office/drawing/2014/main" id="{00000000-0008-0000-0E00-00000B000000}"/>
              </a:ext>
            </a:extLst>
          </xdr:cNvPr>
          <xdr:cNvCxnSpPr/>
        </xdr:nvCxnSpPr>
        <xdr:spPr>
          <a:xfrm>
            <a:off x="4381500" y="76200"/>
            <a:ext cx="0" cy="684000"/>
          </a:xfrm>
          <a:prstGeom prst="line">
            <a:avLst/>
          </a:prstGeom>
        </xdr:spPr>
        <xdr:style>
          <a:lnRef idx="3">
            <a:schemeClr val="accent5"/>
          </a:lnRef>
          <a:fillRef idx="0">
            <a:schemeClr val="accent5"/>
          </a:fillRef>
          <a:effectRef idx="2">
            <a:schemeClr val="accent5"/>
          </a:effectRef>
          <a:fontRef idx="minor">
            <a:schemeClr val="tx1"/>
          </a:fontRef>
        </xdr:style>
      </xdr:cxnSp>
      <xdr:graphicFrame macro="">
        <xdr:nvGraphicFramePr>
          <xdr:cNvPr id="9" name="Chart 8">
            <a:extLst>
              <a:ext uri="{FF2B5EF4-FFF2-40B4-BE49-F238E27FC236}">
                <a16:creationId xmlns:a16="http://schemas.microsoft.com/office/drawing/2014/main" id="{00000000-0008-0000-0E00-000009000000}"/>
              </a:ext>
            </a:extLst>
          </xdr:cNvPr>
          <xdr:cNvGraphicFramePr>
            <a:graphicFrameLocks/>
          </xdr:cNvGraphicFramePr>
        </xdr:nvGraphicFramePr>
        <xdr:xfrm>
          <a:off x="11582400" y="1333499"/>
          <a:ext cx="2470421" cy="3888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jeev Tandon" refreshedDate="45062.699001388886" createdVersion="8" refreshedVersion="8" minRefreshableVersion="3" recordCount="2" xr:uid="{944D4CB0-A986-4D8D-BB1F-2969C26F363D}">
  <cacheSource type="worksheet">
    <worksheetSource name="Table2"/>
  </cacheSource>
  <cacheFields count="1">
    <cacheField name="CURR" numFmtId="0">
      <sharedItems count="2">
        <s v="INR"/>
        <s v="USD"/>
      </sharedItems>
    </cacheField>
  </cacheFields>
  <extLst>
    <ext xmlns:x14="http://schemas.microsoft.com/office/spreadsheetml/2009/9/main" uri="{725AE2AE-9491-48be-B2B4-4EB974FC3084}">
      <x14:pivotCacheDefinition pivotCacheId="30359029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jeev Tandon" refreshedDate="45077.656967824078" createdVersion="8" refreshedVersion="8" minRefreshableVersion="3" recordCount="189" xr:uid="{F8AD1582-95A1-4071-A6C9-FE1E320945B8}">
  <cacheSource type="worksheet">
    <worksheetSource name="Table137"/>
  </cacheSource>
  <cacheFields count="9">
    <cacheField name="TYPE" numFmtId="0">
      <sharedItems count="2">
        <s v="PORTS"/>
        <s v="TERMINALS"/>
      </sharedItems>
    </cacheField>
    <cacheField name="PORT" numFmtId="0">
      <sharedItems count="16">
        <s v="MUNDRA"/>
        <s v="DAHEJ"/>
        <s v="DHAMRA"/>
        <s v="KATTUPALLI"/>
        <s v="HAZIRA"/>
        <s v="KRISHNAPTNM"/>
        <s v="DIGHI"/>
        <s v="TUNA"/>
        <s v="GOA"/>
        <s v="ENNORE"/>
        <s v="GANGAVARAM"/>
        <s v="KARAIKAL"/>
        <s v="KRISHNPATTNAM" u="1"/>
        <s v="KPCL" u="1"/>
        <s v="GPL" u="1"/>
        <s v="KRISHNAPATTNAM" u="1"/>
      </sharedItems>
    </cacheField>
    <cacheField name="VESSEL TYPE" numFmtId="0">
      <sharedItems containsBlank="1" count="18">
        <s v="DRY BULK"/>
        <s v="BREAK BULK"/>
        <s v="CONTAINER"/>
        <s v="TANKER"/>
        <s v="POL"/>
        <m u="1"/>
        <s v="DRY" u="1"/>
        <s v="COAL / PROJECT" u="1"/>
        <s v="RORO" u="1"/>
        <s v="PROJECT" u="1"/>
        <s v="ALL VESSELS" u="1"/>
        <s v="GLOBAL" u="1"/>
        <s v="BULK / DRY" u="1"/>
        <s v="LIQUID" u="1"/>
        <s v="COAL &amp; PROJECT" u="1"/>
        <s v="GENERAL" u="1"/>
        <s v="DRY / BULK" u="1"/>
        <s v="LNG" u="1"/>
      </sharedItems>
    </cacheField>
    <cacheField name="VESSEL RUN" numFmtId="0">
      <sharedItems containsBlank="1" count="5">
        <s v="FOREIGN"/>
        <s v="COASTAL"/>
        <m u="1"/>
        <s v="F / C" u="1"/>
        <s v="GLOBAL" u="1"/>
      </sharedItems>
    </cacheField>
    <cacheField name="SERVICE" numFmtId="0">
      <sharedItems containsBlank="1" count="8">
        <s v="Port Dues"/>
        <s v="Pilotage"/>
        <s v="Berth Hire"/>
        <s v="Mooring"/>
        <s v="PESP &amp; Dredging"/>
        <s v="Sustainability"/>
        <m u="1"/>
        <s v="Fuel Surcharge" u="1"/>
      </sharedItems>
    </cacheField>
    <cacheField name="KEY" numFmtId="0">
      <sharedItems/>
    </cacheField>
    <cacheField name="Tariff" numFmtId="0">
      <sharedItems containsSemiMixedTypes="0" containsString="0" containsNumber="1" minValue="0" maxValue="800"/>
    </cacheField>
    <cacheField name="Min Charges" numFmtId="0">
      <sharedItems containsString="0" containsBlank="1" containsNumber="1" containsInteger="1" minValue="0" maxValue="42887"/>
    </cacheField>
    <cacheField name="TARIFF CURR" numFmtId="0">
      <sharedItems/>
    </cacheField>
  </cacheFields>
  <extLst>
    <ext xmlns:x14="http://schemas.microsoft.com/office/spreadsheetml/2009/9/main" uri="{725AE2AE-9491-48be-B2B4-4EB974FC3084}">
      <x14:pivotCacheDefinition pivotCacheId="4502442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r>
  <r>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x v="0"/>
    <x v="0"/>
    <x v="0"/>
    <x v="0"/>
    <x v="0"/>
    <s v="MUNDRADRY BULKFOREIGNPort Dues"/>
    <n v="6.5016000000000004E-2"/>
    <n v="330"/>
    <s v="USD"/>
  </r>
  <r>
    <x v="0"/>
    <x v="0"/>
    <x v="0"/>
    <x v="0"/>
    <x v="1"/>
    <s v="MUNDRADRY BULKFOREIGNPilotage"/>
    <n v="0.96704599999999996"/>
    <n v="15370"/>
    <s v="USD"/>
  </r>
  <r>
    <x v="0"/>
    <x v="0"/>
    <x v="0"/>
    <x v="0"/>
    <x v="2"/>
    <s v="MUNDRADRY BULKFOREIGNBerth Hire"/>
    <n v="9.8209999999999999E-3"/>
    <n v="690"/>
    <s v="USD"/>
  </r>
  <r>
    <x v="0"/>
    <x v="0"/>
    <x v="0"/>
    <x v="0"/>
    <x v="3"/>
    <s v="MUNDRADRY BULKFOREIGNMooring"/>
    <n v="3.4720000000000001E-2"/>
    <n v="200"/>
    <s v="USD"/>
  </r>
  <r>
    <x v="0"/>
    <x v="0"/>
    <x v="0"/>
    <x v="0"/>
    <x v="4"/>
    <s v="MUNDRADRY BULKFOREIGNPESP &amp; Dredging"/>
    <n v="600"/>
    <n v="0"/>
    <s v="USD"/>
  </r>
  <r>
    <x v="0"/>
    <x v="1"/>
    <x v="0"/>
    <x v="0"/>
    <x v="0"/>
    <s v="DAHEJDRY BULKFOREIGNPort Dues"/>
    <n v="0.33300000000000002"/>
    <n v="1200"/>
    <s v="USD"/>
  </r>
  <r>
    <x v="0"/>
    <x v="1"/>
    <x v="0"/>
    <x v="0"/>
    <x v="1"/>
    <s v="DAHEJDRY BULKFOREIGNPilotage"/>
    <n v="1.0170699999999999"/>
    <n v="1000"/>
    <s v="USD"/>
  </r>
  <r>
    <x v="0"/>
    <x v="1"/>
    <x v="0"/>
    <x v="0"/>
    <x v="2"/>
    <s v="DAHEJDRY BULKFOREIGNBerth Hire"/>
    <n v="9.7000000000000003E-3"/>
    <n v="1000"/>
    <s v="USD"/>
  </r>
  <r>
    <x v="0"/>
    <x v="1"/>
    <x v="0"/>
    <x v="0"/>
    <x v="3"/>
    <s v="DAHEJDRY BULKFOREIGNMooring"/>
    <n v="3.4720000000000001E-2"/>
    <n v="200"/>
    <s v="USD"/>
  </r>
  <r>
    <x v="0"/>
    <x v="1"/>
    <x v="0"/>
    <x v="0"/>
    <x v="4"/>
    <s v="DAHEJDRY BULKFOREIGNPESP &amp; Dredging"/>
    <n v="1.2500000000000001E-2"/>
    <n v="100"/>
    <s v="USD"/>
  </r>
  <r>
    <x v="0"/>
    <x v="1"/>
    <x v="1"/>
    <x v="0"/>
    <x v="0"/>
    <s v="DAHEJBREAK BULKFOREIGNPort Dues"/>
    <n v="0.33300000000000002"/>
    <n v="1200"/>
    <s v="USD"/>
  </r>
  <r>
    <x v="0"/>
    <x v="1"/>
    <x v="1"/>
    <x v="0"/>
    <x v="1"/>
    <s v="DAHEJBREAK BULKFOREIGNPilotage"/>
    <n v="1.7177"/>
    <n v="1000"/>
    <s v="USD"/>
  </r>
  <r>
    <x v="0"/>
    <x v="1"/>
    <x v="1"/>
    <x v="0"/>
    <x v="2"/>
    <s v="DAHEJBREAK BULKFOREIGNBerth Hire"/>
    <n v="2.1340000000000001E-2"/>
    <n v="1000"/>
    <s v="USD"/>
  </r>
  <r>
    <x v="0"/>
    <x v="1"/>
    <x v="1"/>
    <x v="0"/>
    <x v="3"/>
    <s v="DAHEJBREAK BULKFOREIGNMooring"/>
    <n v="3.4720000000000001E-2"/>
    <n v="200"/>
    <s v="USD"/>
  </r>
  <r>
    <x v="0"/>
    <x v="1"/>
    <x v="1"/>
    <x v="0"/>
    <x v="4"/>
    <s v="DAHEJBREAK BULKFOREIGNPESP &amp; Dredging"/>
    <n v="1.2500000000000001E-2"/>
    <n v="100"/>
    <s v="USD"/>
  </r>
  <r>
    <x v="0"/>
    <x v="2"/>
    <x v="0"/>
    <x v="0"/>
    <x v="0"/>
    <s v="DHAMRADRY BULKFOREIGNPort Dues"/>
    <n v="0.05"/>
    <n v="250"/>
    <s v="USD"/>
  </r>
  <r>
    <x v="0"/>
    <x v="2"/>
    <x v="0"/>
    <x v="0"/>
    <x v="1"/>
    <s v="DHAMRADRY BULKFOREIGNPilotage"/>
    <n v="2.351426"/>
    <n v="6000"/>
    <s v="USD"/>
  </r>
  <r>
    <x v="0"/>
    <x v="2"/>
    <x v="0"/>
    <x v="0"/>
    <x v="2"/>
    <s v="DHAMRADRY BULKFOREIGNBerth Hire"/>
    <n v="1.0919999999999999E-2"/>
    <n v="720"/>
    <s v="USD"/>
  </r>
  <r>
    <x v="0"/>
    <x v="2"/>
    <x v="0"/>
    <x v="0"/>
    <x v="3"/>
    <s v="DHAMRADRY BULKFOREIGNMooring"/>
    <n v="3.4720000000000001E-2"/>
    <n v="200"/>
    <s v="USD"/>
  </r>
  <r>
    <x v="0"/>
    <x v="2"/>
    <x v="0"/>
    <x v="0"/>
    <x v="4"/>
    <s v="DHAMRADRY BULKFOREIGNPESP &amp; Dredging"/>
    <n v="800"/>
    <m/>
    <s v="USD"/>
  </r>
  <r>
    <x v="0"/>
    <x v="3"/>
    <x v="2"/>
    <x v="0"/>
    <x v="1"/>
    <s v="KATTUPALLICONTAINERFOREIGNPilotage"/>
    <n v="0.502"/>
    <n v="3492"/>
    <s v="USD"/>
  </r>
  <r>
    <x v="0"/>
    <x v="3"/>
    <x v="2"/>
    <x v="0"/>
    <x v="2"/>
    <s v="KATTUPALLICONTAINERFOREIGNBerth Hire"/>
    <n v="3.8999999999999998E-3"/>
    <n v="805"/>
    <s v="USD"/>
  </r>
  <r>
    <x v="0"/>
    <x v="3"/>
    <x v="2"/>
    <x v="1"/>
    <x v="2"/>
    <s v="KATTUPALLICONTAINERCOASTALBerth Hire"/>
    <n v="0.11"/>
    <n v="13420"/>
    <s v="INR"/>
  </r>
  <r>
    <x v="0"/>
    <x v="3"/>
    <x v="2"/>
    <x v="0"/>
    <x v="3"/>
    <s v="KATTUPALLICONTAINERFOREIGNMooring"/>
    <n v="3.5000000000000003E-2"/>
    <n v="200"/>
    <s v="USD"/>
  </r>
  <r>
    <x v="0"/>
    <x v="3"/>
    <x v="2"/>
    <x v="1"/>
    <x v="3"/>
    <s v="KATTUPALLICONTAINERCOASTALMooring"/>
    <n v="3.5000000000000003E-2"/>
    <n v="200"/>
    <s v="USD"/>
  </r>
  <r>
    <x v="0"/>
    <x v="3"/>
    <x v="2"/>
    <x v="0"/>
    <x v="4"/>
    <s v="KATTUPALLICONTAINERFOREIGNPESP &amp; Dredging"/>
    <n v="0"/>
    <n v="0"/>
    <s v="USD"/>
  </r>
  <r>
    <x v="0"/>
    <x v="3"/>
    <x v="2"/>
    <x v="1"/>
    <x v="4"/>
    <s v="KATTUPALLICONTAINERCOASTALPESP &amp; Dredging"/>
    <n v="0"/>
    <n v="0"/>
    <s v="USD"/>
  </r>
  <r>
    <x v="0"/>
    <x v="3"/>
    <x v="0"/>
    <x v="0"/>
    <x v="1"/>
    <s v="KATTUPALLIDRY BULKFOREIGNPilotage"/>
    <n v="0.70299999999999996"/>
    <n v="3861"/>
    <s v="USD"/>
  </r>
  <r>
    <x v="0"/>
    <x v="3"/>
    <x v="0"/>
    <x v="0"/>
    <x v="2"/>
    <s v="KATTUPALLIDRY BULKFOREIGNBerth Hire"/>
    <n v="5.4000000000000003E-3"/>
    <n v="805"/>
    <s v="USD"/>
  </r>
  <r>
    <x v="0"/>
    <x v="3"/>
    <x v="0"/>
    <x v="1"/>
    <x v="1"/>
    <s v="KATTUPALLIDRY BULKCOASTALPilotage"/>
    <n v="14.3"/>
    <n v="42887"/>
    <s v="INR"/>
  </r>
  <r>
    <x v="0"/>
    <x v="3"/>
    <x v="0"/>
    <x v="1"/>
    <x v="2"/>
    <s v="KATTUPALLIDRY BULKCOASTALBerth Hire"/>
    <n v="0.13"/>
    <n v="13420"/>
    <s v="INR"/>
  </r>
  <r>
    <x v="0"/>
    <x v="3"/>
    <x v="0"/>
    <x v="0"/>
    <x v="3"/>
    <s v="KATTUPALLIDRY BULKFOREIGNMooring"/>
    <n v="3.5000000000000003E-2"/>
    <n v="200"/>
    <s v="USD"/>
  </r>
  <r>
    <x v="0"/>
    <x v="3"/>
    <x v="0"/>
    <x v="1"/>
    <x v="3"/>
    <s v="KATTUPALLIDRY BULKCOASTALMooring"/>
    <n v="3.5000000000000003E-2"/>
    <n v="200"/>
    <s v="USD"/>
  </r>
  <r>
    <x v="0"/>
    <x v="3"/>
    <x v="0"/>
    <x v="0"/>
    <x v="4"/>
    <s v="KATTUPALLIDRY BULKFOREIGNPESP &amp; Dredging"/>
    <n v="600"/>
    <n v="0"/>
    <s v="USD"/>
  </r>
  <r>
    <x v="0"/>
    <x v="3"/>
    <x v="0"/>
    <x v="1"/>
    <x v="4"/>
    <s v="KATTUPALLIDRY BULKCOASTALPESP &amp; Dredging"/>
    <n v="600"/>
    <n v="0"/>
    <s v="USD"/>
  </r>
  <r>
    <x v="0"/>
    <x v="4"/>
    <x v="0"/>
    <x v="0"/>
    <x v="0"/>
    <s v="HAZIRADRY BULKFOREIGNPort Dues"/>
    <n v="0.06"/>
    <n v="425"/>
    <s v="USD"/>
  </r>
  <r>
    <x v="0"/>
    <x v="4"/>
    <x v="0"/>
    <x v="0"/>
    <x v="1"/>
    <s v="HAZIRADRY BULKFOREIGNPilotage"/>
    <n v="1.2210000000000001"/>
    <n v="19600"/>
    <s v="USD"/>
  </r>
  <r>
    <x v="0"/>
    <x v="4"/>
    <x v="0"/>
    <x v="0"/>
    <x v="2"/>
    <s v="HAZIRADRY BULKFOREIGNBerth Hire"/>
    <n v="1.11E-2"/>
    <n v="690"/>
    <s v="USD"/>
  </r>
  <r>
    <x v="0"/>
    <x v="4"/>
    <x v="0"/>
    <x v="0"/>
    <x v="3"/>
    <s v="HAZIRADRY BULKFOREIGNMooring"/>
    <n v="3.6499999999999998E-2"/>
    <n v="210"/>
    <s v="USD"/>
  </r>
  <r>
    <x v="0"/>
    <x v="4"/>
    <x v="0"/>
    <x v="0"/>
    <x v="4"/>
    <s v="HAZIRADRY BULKFOREIGNPESP &amp; Dredging"/>
    <n v="600"/>
    <n v="0"/>
    <s v="USD"/>
  </r>
  <r>
    <x v="0"/>
    <x v="4"/>
    <x v="2"/>
    <x v="0"/>
    <x v="0"/>
    <s v="HAZIRACONTAINERFOREIGNPort Dues"/>
    <n v="0.06"/>
    <n v="425"/>
    <s v="USD"/>
  </r>
  <r>
    <x v="0"/>
    <x v="4"/>
    <x v="2"/>
    <x v="0"/>
    <x v="1"/>
    <s v="HAZIRACONTAINERFOREIGNPilotage"/>
    <n v="0.98499999999999999"/>
    <n v="9040"/>
    <s v="USD"/>
  </r>
  <r>
    <x v="0"/>
    <x v="4"/>
    <x v="2"/>
    <x v="0"/>
    <x v="2"/>
    <s v="HAZIRACONTAINERFOREIGNBerth Hire"/>
    <n v="1.11E-2"/>
    <n v="690"/>
    <s v="USD"/>
  </r>
  <r>
    <x v="0"/>
    <x v="4"/>
    <x v="2"/>
    <x v="0"/>
    <x v="3"/>
    <s v="HAZIRACONTAINERFOREIGNMooring"/>
    <n v="3.6499999999999998E-2"/>
    <n v="210"/>
    <s v="USD"/>
  </r>
  <r>
    <x v="0"/>
    <x v="4"/>
    <x v="2"/>
    <x v="0"/>
    <x v="4"/>
    <s v="HAZIRACONTAINERFOREIGNPESP &amp; Dredging"/>
    <n v="0"/>
    <n v="0"/>
    <s v="USD"/>
  </r>
  <r>
    <x v="0"/>
    <x v="4"/>
    <x v="3"/>
    <x v="0"/>
    <x v="0"/>
    <s v="HAZIRATANKERFOREIGNPort Dues"/>
    <n v="0.06"/>
    <n v="425"/>
    <s v="USD"/>
  </r>
  <r>
    <x v="0"/>
    <x v="4"/>
    <x v="3"/>
    <x v="0"/>
    <x v="1"/>
    <s v="HAZIRATANKERFOREIGNPilotage"/>
    <n v="1.2210000000000001"/>
    <n v="19600"/>
    <s v="USD"/>
  </r>
  <r>
    <x v="0"/>
    <x v="4"/>
    <x v="3"/>
    <x v="0"/>
    <x v="2"/>
    <s v="HAZIRATANKERFOREIGNBerth Hire"/>
    <n v="1.1599999999999999E-2"/>
    <n v="690"/>
    <s v="USD"/>
  </r>
  <r>
    <x v="0"/>
    <x v="4"/>
    <x v="3"/>
    <x v="0"/>
    <x v="3"/>
    <s v="HAZIRATANKERFOREIGNMooring"/>
    <n v="3.6499999999999998E-2"/>
    <n v="210"/>
    <s v="USD"/>
  </r>
  <r>
    <x v="0"/>
    <x v="4"/>
    <x v="3"/>
    <x v="0"/>
    <x v="4"/>
    <s v="HAZIRATANKERFOREIGNPESP &amp; Dredging"/>
    <n v="600"/>
    <n v="0"/>
    <s v="USD"/>
  </r>
  <r>
    <x v="0"/>
    <x v="5"/>
    <x v="2"/>
    <x v="0"/>
    <x v="0"/>
    <s v="KRISHNAPTNMCONTAINERFOREIGNPort Dues"/>
    <n v="6.5060999999999994E-2"/>
    <n v="500"/>
    <s v="USD"/>
  </r>
  <r>
    <x v="0"/>
    <x v="5"/>
    <x v="2"/>
    <x v="0"/>
    <x v="1"/>
    <s v="KRISHNAPTNMCONTAINERFOREIGNPilotage"/>
    <n v="1.2535000000000001"/>
    <n v="0"/>
    <s v="USD"/>
  </r>
  <r>
    <x v="0"/>
    <x v="5"/>
    <x v="2"/>
    <x v="0"/>
    <x v="2"/>
    <s v="KRISHNAPTNMCONTAINERFOREIGNBerth Hire"/>
    <n v="5.0000000000000001E-3"/>
    <n v="500"/>
    <s v="USD"/>
  </r>
  <r>
    <x v="0"/>
    <x v="5"/>
    <x v="2"/>
    <x v="0"/>
    <x v="3"/>
    <s v="KRISHNAPTNMCONTAINERFOREIGNMooring"/>
    <n v="3.4720000000000001E-2"/>
    <n v="200"/>
    <s v="USD"/>
  </r>
  <r>
    <x v="0"/>
    <x v="5"/>
    <x v="2"/>
    <x v="0"/>
    <x v="4"/>
    <s v="KRISHNAPTNMCONTAINERFOREIGNPESP &amp; Dredging"/>
    <n v="0"/>
    <n v="0"/>
    <s v="USD"/>
  </r>
  <r>
    <x v="0"/>
    <x v="5"/>
    <x v="2"/>
    <x v="1"/>
    <x v="0"/>
    <s v="KRISHNAPTNMCONTAINERCOASTALPort Dues"/>
    <n v="6.5060999999999994E-2"/>
    <n v="500"/>
    <s v="USD"/>
  </r>
  <r>
    <x v="0"/>
    <x v="5"/>
    <x v="2"/>
    <x v="1"/>
    <x v="1"/>
    <s v="KRISHNAPTNMCONTAINERCOASTALPilotage"/>
    <n v="1.2535000000000001"/>
    <n v="0"/>
    <s v="USD"/>
  </r>
  <r>
    <x v="0"/>
    <x v="5"/>
    <x v="2"/>
    <x v="1"/>
    <x v="2"/>
    <s v="KRISHNAPTNMCONTAINERCOASTALBerth Hire"/>
    <n v="5.0000000000000001E-3"/>
    <n v="500"/>
    <s v="USD"/>
  </r>
  <r>
    <x v="0"/>
    <x v="5"/>
    <x v="2"/>
    <x v="1"/>
    <x v="3"/>
    <s v="KRISHNAPTNMCONTAINERCOASTALMooring"/>
    <n v="3.4720000000000001E-2"/>
    <n v="200"/>
    <s v="USD"/>
  </r>
  <r>
    <x v="0"/>
    <x v="5"/>
    <x v="2"/>
    <x v="1"/>
    <x v="4"/>
    <s v="KRISHNAPTNMCONTAINERCOASTALPESP &amp; Dredging"/>
    <n v="0"/>
    <n v="0"/>
    <s v="USD"/>
  </r>
  <r>
    <x v="0"/>
    <x v="5"/>
    <x v="0"/>
    <x v="0"/>
    <x v="0"/>
    <s v="KRISHNAPTNMDRY BULKFOREIGNPort Dues"/>
    <n v="0.2"/>
    <n v="500"/>
    <s v="USD"/>
  </r>
  <r>
    <x v="0"/>
    <x v="5"/>
    <x v="0"/>
    <x v="0"/>
    <x v="1"/>
    <s v="KRISHNAPTNMDRY BULKFOREIGNPilotage"/>
    <n v="1.2535000000000001"/>
    <n v="0"/>
    <s v="USD"/>
  </r>
  <r>
    <x v="0"/>
    <x v="5"/>
    <x v="0"/>
    <x v="0"/>
    <x v="2"/>
    <s v="KRISHNAPTNMDRY BULKFOREIGNBerth Hire"/>
    <n v="0.01"/>
    <n v="500"/>
    <s v="USD"/>
  </r>
  <r>
    <x v="0"/>
    <x v="5"/>
    <x v="0"/>
    <x v="0"/>
    <x v="3"/>
    <s v="KRISHNAPTNMDRY BULKFOREIGNMooring"/>
    <n v="3.4720000000000001E-2"/>
    <n v="200"/>
    <s v="USD"/>
  </r>
  <r>
    <x v="0"/>
    <x v="5"/>
    <x v="0"/>
    <x v="0"/>
    <x v="4"/>
    <s v="KRISHNAPTNMDRY BULKFOREIGNPESP &amp; Dredging"/>
    <n v="2.6270999999999999E-2"/>
    <n v="0"/>
    <s v="USD"/>
  </r>
  <r>
    <x v="0"/>
    <x v="5"/>
    <x v="0"/>
    <x v="1"/>
    <x v="0"/>
    <s v="KRISHNAPTNMDRY BULKCOASTALPort Dues"/>
    <n v="0.09"/>
    <n v="500"/>
    <s v="USD"/>
  </r>
  <r>
    <x v="0"/>
    <x v="5"/>
    <x v="0"/>
    <x v="1"/>
    <x v="1"/>
    <s v="KRISHNAPTNMDRY BULKCOASTALPilotage"/>
    <n v="1.2535000000000001"/>
    <n v="0"/>
    <s v="USD"/>
  </r>
  <r>
    <x v="0"/>
    <x v="5"/>
    <x v="0"/>
    <x v="1"/>
    <x v="2"/>
    <s v="KRISHNAPTNMDRY BULKCOASTALBerth Hire"/>
    <n v="0.01"/>
    <n v="500"/>
    <s v="USD"/>
  </r>
  <r>
    <x v="0"/>
    <x v="5"/>
    <x v="0"/>
    <x v="1"/>
    <x v="3"/>
    <s v="KRISHNAPTNMDRY BULKCOASTALMooring"/>
    <n v="3.4720000000000001E-2"/>
    <n v="200"/>
    <s v="USD"/>
  </r>
  <r>
    <x v="0"/>
    <x v="5"/>
    <x v="0"/>
    <x v="1"/>
    <x v="4"/>
    <s v="KRISHNAPTNMDRY BULKCOASTALPESP &amp; Dredging"/>
    <n v="2.6270999999999999E-2"/>
    <n v="0"/>
    <s v="USD"/>
  </r>
  <r>
    <x v="0"/>
    <x v="6"/>
    <x v="0"/>
    <x v="0"/>
    <x v="0"/>
    <s v="DIGHIDRY BULKFOREIGNPort Dues"/>
    <n v="6.3500000000000001E-2"/>
    <n v="375"/>
    <s v="USD"/>
  </r>
  <r>
    <x v="0"/>
    <x v="6"/>
    <x v="0"/>
    <x v="0"/>
    <x v="1"/>
    <s v="DIGHIDRY BULKFOREIGNPilotage"/>
    <n v="1.3150999999999999"/>
    <n v="16295"/>
    <s v="USD"/>
  </r>
  <r>
    <x v="0"/>
    <x v="6"/>
    <x v="0"/>
    <x v="0"/>
    <x v="2"/>
    <s v="DIGHIDRY BULKFOREIGNBerth Hire"/>
    <n v="8.5000000000000006E-3"/>
    <n v="495"/>
    <s v="USD"/>
  </r>
  <r>
    <x v="0"/>
    <x v="6"/>
    <x v="0"/>
    <x v="0"/>
    <x v="3"/>
    <s v="DIGHIDRY BULKFOREIGNMooring"/>
    <n v="0.1736"/>
    <n v="200"/>
    <s v="USD"/>
  </r>
  <r>
    <x v="0"/>
    <x v="6"/>
    <x v="0"/>
    <x v="0"/>
    <x v="4"/>
    <s v="DIGHIDRY BULKFOREIGNPESP &amp; Dredging"/>
    <n v="600"/>
    <n v="0"/>
    <s v="USD"/>
  </r>
  <r>
    <x v="1"/>
    <x v="7"/>
    <x v="0"/>
    <x v="0"/>
    <x v="2"/>
    <s v="TUNADRY BULKFOREIGNBerth Hire"/>
    <n v="0.75"/>
    <n v="0"/>
    <s v="INR"/>
  </r>
  <r>
    <x v="1"/>
    <x v="8"/>
    <x v="0"/>
    <x v="0"/>
    <x v="2"/>
    <s v="GOADRY BULKFOREIGNBerth Hire"/>
    <n v="0.8"/>
    <n v="0"/>
    <s v="INR"/>
  </r>
  <r>
    <x v="1"/>
    <x v="9"/>
    <x v="2"/>
    <x v="0"/>
    <x v="2"/>
    <s v="ENNORECONTAINERFOREIGNBerth Hire"/>
    <n v="2.01E-2"/>
    <n v="0"/>
    <s v="USD"/>
  </r>
  <r>
    <x v="0"/>
    <x v="5"/>
    <x v="1"/>
    <x v="0"/>
    <x v="0"/>
    <s v="KRISHNAPTNMBREAK BULKFOREIGNPort Dues"/>
    <n v="6.5060999999999994E-2"/>
    <n v="500"/>
    <s v="USD"/>
  </r>
  <r>
    <x v="0"/>
    <x v="5"/>
    <x v="1"/>
    <x v="0"/>
    <x v="1"/>
    <s v="KRISHNAPTNMBREAK BULKFOREIGNPilotage"/>
    <n v="1.2535000000000001"/>
    <n v="0"/>
    <s v="USD"/>
  </r>
  <r>
    <x v="0"/>
    <x v="5"/>
    <x v="1"/>
    <x v="0"/>
    <x v="2"/>
    <s v="KRISHNAPTNMBREAK BULKFOREIGNBerth Hire"/>
    <n v="5.0000000000000001E-3"/>
    <n v="500"/>
    <s v="USD"/>
  </r>
  <r>
    <x v="0"/>
    <x v="5"/>
    <x v="1"/>
    <x v="0"/>
    <x v="3"/>
    <s v="KRISHNAPTNMBREAK BULKFOREIGNMooring"/>
    <n v="3.4720000000000001E-2"/>
    <n v="200"/>
    <s v="USD"/>
  </r>
  <r>
    <x v="0"/>
    <x v="5"/>
    <x v="1"/>
    <x v="0"/>
    <x v="4"/>
    <s v="KRISHNAPTNMBREAK BULKFOREIGNPESP &amp; Dredging"/>
    <n v="2.6270999999999999E-2"/>
    <n v="0"/>
    <s v="USD"/>
  </r>
  <r>
    <x v="0"/>
    <x v="5"/>
    <x v="1"/>
    <x v="1"/>
    <x v="0"/>
    <s v="KRISHNAPTNMBREAK BULKCOASTALPort Dues"/>
    <n v="6.5060999999999994E-2"/>
    <n v="500"/>
    <s v="USD"/>
  </r>
  <r>
    <x v="0"/>
    <x v="5"/>
    <x v="1"/>
    <x v="1"/>
    <x v="1"/>
    <s v="KRISHNAPTNMBREAK BULKCOASTALPilotage"/>
    <n v="1.2535000000000001"/>
    <n v="0"/>
    <s v="USD"/>
  </r>
  <r>
    <x v="0"/>
    <x v="5"/>
    <x v="1"/>
    <x v="1"/>
    <x v="2"/>
    <s v="KRISHNAPTNMBREAK BULKCOASTALBerth Hire"/>
    <n v="5.0000000000000001E-3"/>
    <n v="500"/>
    <s v="USD"/>
  </r>
  <r>
    <x v="0"/>
    <x v="5"/>
    <x v="1"/>
    <x v="1"/>
    <x v="3"/>
    <s v="KRISHNAPTNMBREAK BULKCOASTALMooring"/>
    <n v="3.4720000000000001E-2"/>
    <n v="200"/>
    <s v="USD"/>
  </r>
  <r>
    <x v="0"/>
    <x v="5"/>
    <x v="1"/>
    <x v="1"/>
    <x v="4"/>
    <s v="KRISHNAPTNMBREAK BULKCOASTALPESP &amp; Dredging"/>
    <n v="2.6270999999999999E-2"/>
    <n v="0"/>
    <s v="USD"/>
  </r>
  <r>
    <x v="0"/>
    <x v="5"/>
    <x v="2"/>
    <x v="0"/>
    <x v="5"/>
    <s v="KRISHNAPTNMCONTAINERFOREIGNSustainability"/>
    <n v="0.115"/>
    <n v="0"/>
    <s v="USD"/>
  </r>
  <r>
    <x v="0"/>
    <x v="5"/>
    <x v="2"/>
    <x v="1"/>
    <x v="5"/>
    <s v="KRISHNAPTNMCONTAINERCOASTALSustainability"/>
    <n v="0.115"/>
    <n v="0"/>
    <s v="USD"/>
  </r>
  <r>
    <x v="0"/>
    <x v="10"/>
    <x v="0"/>
    <x v="0"/>
    <x v="0"/>
    <s v="GANGAVARAMDRY BULKFOREIGNPort Dues"/>
    <n v="0.13700000000000001"/>
    <n v="700"/>
    <s v="USD"/>
  </r>
  <r>
    <x v="0"/>
    <x v="10"/>
    <x v="0"/>
    <x v="0"/>
    <x v="1"/>
    <s v="GANGAVARAMDRY BULKFOREIGNPilotage"/>
    <n v="1.3440000000000001"/>
    <n v="15750"/>
    <s v="USD"/>
  </r>
  <r>
    <x v="0"/>
    <x v="10"/>
    <x v="0"/>
    <x v="0"/>
    <x v="2"/>
    <s v="GANGAVARAMDRY BULKFOREIGNBerth Hire"/>
    <n v="1.2E-2"/>
    <n v="900"/>
    <s v="USD"/>
  </r>
  <r>
    <x v="0"/>
    <x v="10"/>
    <x v="0"/>
    <x v="0"/>
    <x v="3"/>
    <s v="GANGAVARAMDRY BULKFOREIGNMooring"/>
    <n v="0.03"/>
    <n v="200"/>
    <s v="USD"/>
  </r>
  <r>
    <x v="0"/>
    <x v="10"/>
    <x v="0"/>
    <x v="0"/>
    <x v="4"/>
    <s v="GANGAVARAMDRY BULKFOREIGNPESP &amp; Dredging"/>
    <n v="475"/>
    <n v="0"/>
    <s v="USD"/>
  </r>
  <r>
    <x v="0"/>
    <x v="10"/>
    <x v="0"/>
    <x v="0"/>
    <x v="5"/>
    <s v="GANGAVARAMDRY BULKFOREIGNSustainability"/>
    <n v="5"/>
    <n v="0"/>
    <s v="INR"/>
  </r>
  <r>
    <x v="0"/>
    <x v="3"/>
    <x v="2"/>
    <x v="1"/>
    <x v="1"/>
    <s v="KATTUPALLICONTAINERCOASTALPilotage"/>
    <n v="13.96"/>
    <n v="41889"/>
    <s v="INR"/>
  </r>
  <r>
    <x v="0"/>
    <x v="6"/>
    <x v="4"/>
    <x v="0"/>
    <x v="0"/>
    <s v="DIGHIPOLFOREIGNPort Dues"/>
    <n v="6.8000000000000005E-2"/>
    <n v="475"/>
    <s v="USD"/>
  </r>
  <r>
    <x v="0"/>
    <x v="6"/>
    <x v="4"/>
    <x v="0"/>
    <x v="1"/>
    <s v="DIGHIPOLFOREIGNPilotage"/>
    <n v="1.3952"/>
    <n v="20680"/>
    <s v="USD"/>
  </r>
  <r>
    <x v="0"/>
    <x v="6"/>
    <x v="4"/>
    <x v="0"/>
    <x v="2"/>
    <s v="DIGHIPOLFOREIGNBerth Hire"/>
    <n v="0.13375000000000001"/>
    <n v="630"/>
    <s v="USD"/>
  </r>
  <r>
    <x v="0"/>
    <x v="6"/>
    <x v="4"/>
    <x v="0"/>
    <x v="3"/>
    <s v="DIGHIPOLFOREIGNMooring"/>
    <n v="0.1736"/>
    <n v="200"/>
    <s v="USD"/>
  </r>
  <r>
    <x v="0"/>
    <x v="6"/>
    <x v="4"/>
    <x v="0"/>
    <x v="4"/>
    <s v="DIGHIPOLFOREIGNPESP &amp; Dredging"/>
    <n v="600"/>
    <n v="0"/>
    <s v="USD"/>
  </r>
  <r>
    <x v="0"/>
    <x v="6"/>
    <x v="3"/>
    <x v="0"/>
    <x v="0"/>
    <s v="DIGHITANKERFOREIGNPort Dues"/>
    <n v="6.3500000000000001E-2"/>
    <n v="375"/>
    <s v="USD"/>
  </r>
  <r>
    <x v="0"/>
    <x v="6"/>
    <x v="3"/>
    <x v="0"/>
    <x v="1"/>
    <s v="DIGHITANKERFOREIGNPilotage"/>
    <n v="1.1009"/>
    <n v="16275"/>
    <s v="USD"/>
  </r>
  <r>
    <x v="0"/>
    <x v="6"/>
    <x v="3"/>
    <x v="0"/>
    <x v="2"/>
    <s v="DIGHITANKERFOREIGNBerth Hire"/>
    <n v="8.5000000000000006E-3"/>
    <n v="495"/>
    <s v="USD"/>
  </r>
  <r>
    <x v="0"/>
    <x v="6"/>
    <x v="3"/>
    <x v="0"/>
    <x v="3"/>
    <s v="DIGHITANKERFOREIGNMooring"/>
    <n v="0.1736"/>
    <n v="200"/>
    <s v="USD"/>
  </r>
  <r>
    <x v="0"/>
    <x v="6"/>
    <x v="3"/>
    <x v="0"/>
    <x v="4"/>
    <s v="DIGHITANKERFOREIGNPESP &amp; Dredging"/>
    <n v="600"/>
    <n v="0"/>
    <s v="USD"/>
  </r>
  <r>
    <x v="1"/>
    <x v="7"/>
    <x v="0"/>
    <x v="1"/>
    <x v="2"/>
    <s v="TUNADRY BULKCOASTALBerth Hire"/>
    <n v="0.44"/>
    <n v="0"/>
    <s v="INR"/>
  </r>
  <r>
    <x v="1"/>
    <x v="8"/>
    <x v="0"/>
    <x v="1"/>
    <x v="2"/>
    <s v="GOADRY BULKCOASTALBerth Hire"/>
    <n v="0.48"/>
    <n v="0"/>
    <s v="INR"/>
  </r>
  <r>
    <x v="1"/>
    <x v="9"/>
    <x v="2"/>
    <x v="1"/>
    <x v="2"/>
    <s v="ENNORECONTAINERCOASTALBerth Hire"/>
    <n v="0.751"/>
    <n v="0"/>
    <s v="INR"/>
  </r>
  <r>
    <x v="0"/>
    <x v="5"/>
    <x v="0"/>
    <x v="1"/>
    <x v="5"/>
    <s v="KRISHNAPTNMDRY BULKCOASTALSustainability"/>
    <n v="0.115"/>
    <n v="0"/>
    <s v="USD"/>
  </r>
  <r>
    <x v="0"/>
    <x v="5"/>
    <x v="1"/>
    <x v="1"/>
    <x v="5"/>
    <s v="KRISHNAPTNMBREAK BULKCOASTALSustainability"/>
    <n v="0.115"/>
    <n v="0"/>
    <s v="USD"/>
  </r>
  <r>
    <x v="0"/>
    <x v="5"/>
    <x v="0"/>
    <x v="0"/>
    <x v="5"/>
    <s v="KRISHNAPTNMDRY BULKFOREIGNSustainability"/>
    <n v="0.115"/>
    <n v="0"/>
    <s v="USD"/>
  </r>
  <r>
    <x v="0"/>
    <x v="5"/>
    <x v="1"/>
    <x v="0"/>
    <x v="5"/>
    <s v="KRISHNAPTNMBREAK BULKFOREIGNSustainability"/>
    <n v="0.115"/>
    <n v="0"/>
    <s v="USD"/>
  </r>
  <r>
    <x v="0"/>
    <x v="0"/>
    <x v="2"/>
    <x v="0"/>
    <x v="0"/>
    <s v="MUNDRACONTAINERFOREIGNPort Dues"/>
    <n v="6.5016000000000004E-2"/>
    <n v="330"/>
    <s v="USD"/>
  </r>
  <r>
    <x v="0"/>
    <x v="0"/>
    <x v="2"/>
    <x v="0"/>
    <x v="1"/>
    <s v="MUNDRACONTAINERFOREIGNPilotage"/>
    <n v="0.96704599999999996"/>
    <n v="15370"/>
    <s v="USD"/>
  </r>
  <r>
    <x v="0"/>
    <x v="0"/>
    <x v="2"/>
    <x v="0"/>
    <x v="2"/>
    <s v="MUNDRACONTAINERFOREIGNBerth Hire"/>
    <n v="9.8209999999999999E-3"/>
    <n v="690"/>
    <s v="USD"/>
  </r>
  <r>
    <x v="0"/>
    <x v="0"/>
    <x v="2"/>
    <x v="0"/>
    <x v="3"/>
    <s v="MUNDRACONTAINERFOREIGNMooring"/>
    <n v="3.4720000000000001E-2"/>
    <n v="200"/>
    <s v="USD"/>
  </r>
  <r>
    <x v="0"/>
    <x v="0"/>
    <x v="2"/>
    <x v="0"/>
    <x v="4"/>
    <s v="MUNDRACONTAINERFOREIGNPESP &amp; Dredging"/>
    <n v="600"/>
    <n v="0"/>
    <s v="USD"/>
  </r>
  <r>
    <x v="0"/>
    <x v="0"/>
    <x v="3"/>
    <x v="0"/>
    <x v="0"/>
    <s v="MUNDRATANKERFOREIGNPort Dues"/>
    <n v="6.5016000000000004E-2"/>
    <n v="330"/>
    <s v="USD"/>
  </r>
  <r>
    <x v="0"/>
    <x v="0"/>
    <x v="3"/>
    <x v="0"/>
    <x v="1"/>
    <s v="MUNDRATANKERFOREIGNPilotage"/>
    <n v="0.96704599999999996"/>
    <n v="15370"/>
    <s v="USD"/>
  </r>
  <r>
    <x v="0"/>
    <x v="0"/>
    <x v="3"/>
    <x v="0"/>
    <x v="2"/>
    <s v="MUNDRATANKERFOREIGNBerth Hire"/>
    <n v="9.8209999999999999E-3"/>
    <n v="690"/>
    <s v="USD"/>
  </r>
  <r>
    <x v="0"/>
    <x v="0"/>
    <x v="3"/>
    <x v="0"/>
    <x v="3"/>
    <s v="MUNDRATANKERFOREIGNMooring"/>
    <n v="3.4720000000000001E-2"/>
    <n v="200"/>
    <s v="USD"/>
  </r>
  <r>
    <x v="0"/>
    <x v="0"/>
    <x v="3"/>
    <x v="0"/>
    <x v="4"/>
    <s v="MUNDRATANKERFOREIGNPESP &amp; Dredging"/>
    <n v="600"/>
    <n v="0"/>
    <s v="USD"/>
  </r>
  <r>
    <x v="0"/>
    <x v="0"/>
    <x v="1"/>
    <x v="0"/>
    <x v="0"/>
    <s v="MUNDRABREAK BULKFOREIGNPort Dues"/>
    <n v="6.5016000000000004E-2"/>
    <n v="330"/>
    <s v="USD"/>
  </r>
  <r>
    <x v="0"/>
    <x v="0"/>
    <x v="1"/>
    <x v="0"/>
    <x v="1"/>
    <s v="MUNDRABREAK BULKFOREIGNPilotage"/>
    <n v="0.96704599999999996"/>
    <n v="15370"/>
    <s v="USD"/>
  </r>
  <r>
    <x v="0"/>
    <x v="0"/>
    <x v="1"/>
    <x v="0"/>
    <x v="2"/>
    <s v="MUNDRABREAK BULKFOREIGNBerth Hire"/>
    <n v="9.8209999999999999E-3"/>
    <n v="690"/>
    <s v="USD"/>
  </r>
  <r>
    <x v="0"/>
    <x v="0"/>
    <x v="1"/>
    <x v="0"/>
    <x v="3"/>
    <s v="MUNDRABREAK BULKFOREIGNMooring"/>
    <n v="3.4720000000000001E-2"/>
    <n v="200"/>
    <s v="USD"/>
  </r>
  <r>
    <x v="0"/>
    <x v="0"/>
    <x v="1"/>
    <x v="0"/>
    <x v="4"/>
    <s v="MUNDRABREAK BULKFOREIGNPESP &amp; Dredging"/>
    <n v="600"/>
    <n v="0"/>
    <s v="USD"/>
  </r>
  <r>
    <x v="0"/>
    <x v="4"/>
    <x v="1"/>
    <x v="0"/>
    <x v="0"/>
    <s v="HAZIRABREAK BULKFOREIGNPort Dues"/>
    <n v="0.06"/>
    <n v="425"/>
    <s v="USD"/>
  </r>
  <r>
    <x v="0"/>
    <x v="4"/>
    <x v="1"/>
    <x v="0"/>
    <x v="1"/>
    <s v="HAZIRABREAK BULKFOREIGNPilotage"/>
    <n v="1.2210000000000001"/>
    <n v="19600"/>
    <s v="USD"/>
  </r>
  <r>
    <x v="0"/>
    <x v="4"/>
    <x v="1"/>
    <x v="0"/>
    <x v="2"/>
    <s v="HAZIRABREAK BULKFOREIGNBerth Hire"/>
    <n v="1.11E-2"/>
    <n v="690"/>
    <s v="USD"/>
  </r>
  <r>
    <x v="0"/>
    <x v="4"/>
    <x v="1"/>
    <x v="0"/>
    <x v="3"/>
    <s v="HAZIRABREAK BULKFOREIGNMooring"/>
    <n v="3.6499999999999998E-2"/>
    <n v="210"/>
    <s v="USD"/>
  </r>
  <r>
    <x v="0"/>
    <x v="4"/>
    <x v="1"/>
    <x v="0"/>
    <x v="4"/>
    <s v="HAZIRABREAK BULKFOREIGNPESP &amp; Dredging"/>
    <n v="600"/>
    <n v="0"/>
    <s v="USD"/>
  </r>
  <r>
    <x v="0"/>
    <x v="3"/>
    <x v="1"/>
    <x v="0"/>
    <x v="1"/>
    <s v="KATTUPALLIBREAK BULKFOREIGNPilotage"/>
    <n v="0.70299999999999996"/>
    <n v="3861"/>
    <s v="USD"/>
  </r>
  <r>
    <x v="0"/>
    <x v="3"/>
    <x v="1"/>
    <x v="0"/>
    <x v="2"/>
    <s v="KATTUPALLIBREAK BULKFOREIGNBerth Hire"/>
    <n v="5.4000000000000003E-3"/>
    <n v="805"/>
    <s v="USD"/>
  </r>
  <r>
    <x v="0"/>
    <x v="3"/>
    <x v="1"/>
    <x v="1"/>
    <x v="1"/>
    <s v="KATTUPALLIBREAK BULKCOASTALPilotage"/>
    <n v="14.3"/>
    <n v="42887"/>
    <s v="INR"/>
  </r>
  <r>
    <x v="0"/>
    <x v="3"/>
    <x v="1"/>
    <x v="1"/>
    <x v="2"/>
    <s v="KATTUPALLIBREAK BULKCOASTALBerth Hire"/>
    <n v="0.13"/>
    <n v="13420"/>
    <s v="INR"/>
  </r>
  <r>
    <x v="0"/>
    <x v="3"/>
    <x v="1"/>
    <x v="0"/>
    <x v="3"/>
    <s v="KATTUPALLIBREAK BULKFOREIGNMooring"/>
    <n v="3.5000000000000003E-2"/>
    <n v="200"/>
    <s v="USD"/>
  </r>
  <r>
    <x v="0"/>
    <x v="3"/>
    <x v="1"/>
    <x v="1"/>
    <x v="3"/>
    <s v="KATTUPALLIBREAK BULKCOASTALMooring"/>
    <n v="3.5000000000000003E-2"/>
    <n v="200"/>
    <s v="USD"/>
  </r>
  <r>
    <x v="0"/>
    <x v="3"/>
    <x v="1"/>
    <x v="0"/>
    <x v="4"/>
    <s v="KATTUPALLIBREAK BULKFOREIGNPESP &amp; Dredging"/>
    <n v="600"/>
    <n v="0"/>
    <s v="USD"/>
  </r>
  <r>
    <x v="0"/>
    <x v="3"/>
    <x v="1"/>
    <x v="1"/>
    <x v="4"/>
    <s v="KATTUPALLIBREAK BULKCOASTALPESP &amp; Dredging"/>
    <n v="600"/>
    <n v="0"/>
    <s v="USD"/>
  </r>
  <r>
    <x v="0"/>
    <x v="11"/>
    <x v="0"/>
    <x v="0"/>
    <x v="0"/>
    <s v="KARAIKALDRY BULKFOREIGNPort Dues"/>
    <n v="0.49"/>
    <n v="0"/>
    <s v="USD"/>
  </r>
  <r>
    <x v="0"/>
    <x v="11"/>
    <x v="0"/>
    <x v="0"/>
    <x v="1"/>
    <s v="KARAIKALDRY BULKFOREIGNPilotage"/>
    <n v="1.1880999999999999"/>
    <n v="18000"/>
    <s v="USD"/>
  </r>
  <r>
    <x v="0"/>
    <x v="11"/>
    <x v="0"/>
    <x v="0"/>
    <x v="2"/>
    <s v="KARAIKALDRY BULKFOREIGNBerth Hire"/>
    <n v="1.5990000000000001E-2"/>
    <n v="400"/>
    <s v="USD"/>
  </r>
  <r>
    <x v="0"/>
    <x v="11"/>
    <x v="0"/>
    <x v="0"/>
    <x v="3"/>
    <s v="KARAIKALDRY BULKFOREIGNMooring"/>
    <n v="3.4720000000000001E-2"/>
    <n v="200"/>
    <s v="USD"/>
  </r>
  <r>
    <x v="0"/>
    <x v="11"/>
    <x v="0"/>
    <x v="0"/>
    <x v="4"/>
    <s v="KARAIKALDRY BULKFOREIGNPESP &amp; Dredging"/>
    <n v="600"/>
    <n v="0"/>
    <s v="USD"/>
  </r>
  <r>
    <x v="0"/>
    <x v="11"/>
    <x v="3"/>
    <x v="0"/>
    <x v="0"/>
    <s v="KARAIKALTANKERFOREIGNPort Dues"/>
    <n v="0.49"/>
    <n v="0"/>
    <s v="USD"/>
  </r>
  <r>
    <x v="0"/>
    <x v="11"/>
    <x v="3"/>
    <x v="0"/>
    <x v="1"/>
    <s v="KARAIKALTANKERFOREIGNPilotage"/>
    <n v="1.1880999999999999"/>
    <n v="18000"/>
    <s v="USD"/>
  </r>
  <r>
    <x v="0"/>
    <x v="11"/>
    <x v="3"/>
    <x v="0"/>
    <x v="2"/>
    <s v="KARAIKALTANKERFOREIGNBerth Hire"/>
    <n v="1.5990000000000001E-2"/>
    <n v="400"/>
    <s v="USD"/>
  </r>
  <r>
    <x v="0"/>
    <x v="11"/>
    <x v="3"/>
    <x v="0"/>
    <x v="3"/>
    <s v="KARAIKALTANKERFOREIGNMooring"/>
    <n v="3.4720000000000001E-2"/>
    <n v="200"/>
    <s v="USD"/>
  </r>
  <r>
    <x v="0"/>
    <x v="11"/>
    <x v="3"/>
    <x v="0"/>
    <x v="4"/>
    <s v="KARAIKALTANKERFOREIGNPESP &amp; Dredging"/>
    <n v="600"/>
    <n v="0"/>
    <s v="USD"/>
  </r>
  <r>
    <x v="0"/>
    <x v="11"/>
    <x v="1"/>
    <x v="0"/>
    <x v="0"/>
    <s v="KARAIKALBREAK BULKFOREIGNPort Dues"/>
    <n v="0.49"/>
    <n v="0"/>
    <s v="USD"/>
  </r>
  <r>
    <x v="0"/>
    <x v="11"/>
    <x v="1"/>
    <x v="0"/>
    <x v="1"/>
    <s v="KARAIKALBREAK BULKFOREIGNPilotage"/>
    <n v="1.1880999999999999"/>
    <n v="18000"/>
    <s v="USD"/>
  </r>
  <r>
    <x v="0"/>
    <x v="11"/>
    <x v="1"/>
    <x v="0"/>
    <x v="2"/>
    <s v="KARAIKALBREAK BULKFOREIGNBerth Hire"/>
    <n v="1.5990000000000001E-2"/>
    <n v="400"/>
    <s v="USD"/>
  </r>
  <r>
    <x v="0"/>
    <x v="11"/>
    <x v="1"/>
    <x v="0"/>
    <x v="3"/>
    <s v="KARAIKALBREAK BULKFOREIGNMooring"/>
    <n v="3.4720000000000001E-2"/>
    <n v="200"/>
    <s v="USD"/>
  </r>
  <r>
    <x v="0"/>
    <x v="11"/>
    <x v="1"/>
    <x v="0"/>
    <x v="4"/>
    <s v="KARAIKALBREAK BULKFOREIGNPESP &amp; Dredging"/>
    <n v="600"/>
    <n v="0"/>
    <s v="USD"/>
  </r>
  <r>
    <x v="0"/>
    <x v="10"/>
    <x v="1"/>
    <x v="0"/>
    <x v="0"/>
    <s v="GANGAVARAMBREAK BULKFOREIGNPort Dues"/>
    <n v="0.13700000000000001"/>
    <n v="700"/>
    <s v="USD"/>
  </r>
  <r>
    <x v="0"/>
    <x v="10"/>
    <x v="1"/>
    <x v="0"/>
    <x v="1"/>
    <s v="GANGAVARAMBREAK BULKFOREIGNPilotage"/>
    <n v="1.3440000000000001"/>
    <n v="15750"/>
    <s v="USD"/>
  </r>
  <r>
    <x v="0"/>
    <x v="10"/>
    <x v="1"/>
    <x v="0"/>
    <x v="2"/>
    <s v="GANGAVARAMBREAK BULKFOREIGNBerth Hire"/>
    <n v="1.2E-2"/>
    <n v="900"/>
    <s v="USD"/>
  </r>
  <r>
    <x v="0"/>
    <x v="10"/>
    <x v="1"/>
    <x v="0"/>
    <x v="3"/>
    <s v="GANGAVARAMBREAK BULKFOREIGNMooring"/>
    <n v="0.03"/>
    <n v="200"/>
    <s v="USD"/>
  </r>
  <r>
    <x v="0"/>
    <x v="10"/>
    <x v="1"/>
    <x v="0"/>
    <x v="4"/>
    <s v="GANGAVARAMBREAK BULKFOREIGNPESP &amp; Dredging"/>
    <n v="475"/>
    <n v="0"/>
    <s v="USD"/>
  </r>
  <r>
    <x v="0"/>
    <x v="10"/>
    <x v="1"/>
    <x v="0"/>
    <x v="5"/>
    <s v="GANGAVARAMBREAK BULKFOREIGNSustainability"/>
    <n v="5"/>
    <n v="0"/>
    <s v="INR"/>
  </r>
  <r>
    <x v="0"/>
    <x v="10"/>
    <x v="2"/>
    <x v="0"/>
    <x v="0"/>
    <s v="GANGAVARAMCONTAINERFOREIGNPort Dues"/>
    <n v="0.13700000000000001"/>
    <n v="700"/>
    <s v="USD"/>
  </r>
  <r>
    <x v="0"/>
    <x v="10"/>
    <x v="2"/>
    <x v="0"/>
    <x v="1"/>
    <s v="GANGAVARAMCONTAINERFOREIGNPilotage"/>
    <n v="1.3440000000000001"/>
    <n v="15750"/>
    <s v="USD"/>
  </r>
  <r>
    <x v="0"/>
    <x v="10"/>
    <x v="2"/>
    <x v="0"/>
    <x v="2"/>
    <s v="GANGAVARAMCONTAINERFOREIGNBerth Hire"/>
    <n v="1.2E-2"/>
    <n v="900"/>
    <s v="USD"/>
  </r>
  <r>
    <x v="0"/>
    <x v="10"/>
    <x v="2"/>
    <x v="0"/>
    <x v="3"/>
    <s v="GANGAVARAMCONTAINERFOREIGNMooring"/>
    <n v="0.03"/>
    <n v="200"/>
    <s v="USD"/>
  </r>
  <r>
    <x v="0"/>
    <x v="10"/>
    <x v="2"/>
    <x v="0"/>
    <x v="4"/>
    <s v="GANGAVARAMCONTAINERFOREIGNPESP &amp; Dredging"/>
    <n v="475"/>
    <n v="0"/>
    <s v="USD"/>
  </r>
  <r>
    <x v="0"/>
    <x v="10"/>
    <x v="2"/>
    <x v="0"/>
    <x v="5"/>
    <s v="GANGAVARAMCONTAINERFOREIGNSustainability"/>
    <n v="5"/>
    <n v="0"/>
    <s v="INR"/>
  </r>
  <r>
    <x v="0"/>
    <x v="3"/>
    <x v="3"/>
    <x v="0"/>
    <x v="1"/>
    <s v="KATTUPALLITANKERFOREIGNPilotage"/>
    <n v="0.70299999999999996"/>
    <n v="3861"/>
    <s v="USD"/>
  </r>
  <r>
    <x v="0"/>
    <x v="3"/>
    <x v="3"/>
    <x v="0"/>
    <x v="2"/>
    <s v="KATTUPALLITANKERFOREIGNBerth Hire"/>
    <n v="5.4000000000000003E-3"/>
    <n v="805"/>
    <s v="USD"/>
  </r>
  <r>
    <x v="0"/>
    <x v="3"/>
    <x v="3"/>
    <x v="1"/>
    <x v="1"/>
    <s v="KATTUPALLITANKERCOASTALPilotage"/>
    <n v="14.3"/>
    <n v="42887"/>
    <s v="INR"/>
  </r>
  <r>
    <x v="0"/>
    <x v="3"/>
    <x v="3"/>
    <x v="1"/>
    <x v="2"/>
    <s v="KATTUPALLITANKERCOASTALBerth Hire"/>
    <n v="0.13"/>
    <n v="13420"/>
    <s v="INR"/>
  </r>
  <r>
    <x v="0"/>
    <x v="3"/>
    <x v="3"/>
    <x v="0"/>
    <x v="3"/>
    <s v="KATTUPALLITANKERFOREIGNMooring"/>
    <n v="3.5000000000000003E-2"/>
    <n v="200"/>
    <s v="USD"/>
  </r>
  <r>
    <x v="0"/>
    <x v="3"/>
    <x v="3"/>
    <x v="1"/>
    <x v="3"/>
    <s v="KATTUPALLITANKERCOASTALMooring"/>
    <n v="3.5000000000000003E-2"/>
    <n v="200"/>
    <s v="USD"/>
  </r>
  <r>
    <x v="0"/>
    <x v="3"/>
    <x v="3"/>
    <x v="0"/>
    <x v="4"/>
    <s v="KATTUPALLITANKERFOREIGNPESP &amp; Dredging"/>
    <n v="600"/>
    <n v="0"/>
    <s v="USD"/>
  </r>
  <r>
    <x v="0"/>
    <x v="3"/>
    <x v="3"/>
    <x v="1"/>
    <x v="4"/>
    <s v="KATTUPALLITANKERCOASTALPESP &amp; Dredging"/>
    <n v="600"/>
    <n v="0"/>
    <s v="USD"/>
  </r>
  <r>
    <x v="0"/>
    <x v="5"/>
    <x v="3"/>
    <x v="0"/>
    <x v="0"/>
    <s v="KRISHNAPTNMTANKERFOREIGNPort Dues"/>
    <n v="0.2"/>
    <n v="500"/>
    <s v="USD"/>
  </r>
  <r>
    <x v="0"/>
    <x v="5"/>
    <x v="3"/>
    <x v="0"/>
    <x v="1"/>
    <s v="KRISHNAPTNMTANKERFOREIGNPilotage"/>
    <n v="1.2535000000000001"/>
    <n v="0"/>
    <s v="USD"/>
  </r>
  <r>
    <x v="0"/>
    <x v="5"/>
    <x v="3"/>
    <x v="0"/>
    <x v="2"/>
    <s v="KRISHNAPTNMTANKERFOREIGNBerth Hire"/>
    <n v="0.01"/>
    <n v="500"/>
    <s v="USD"/>
  </r>
  <r>
    <x v="0"/>
    <x v="5"/>
    <x v="3"/>
    <x v="0"/>
    <x v="3"/>
    <s v="KRISHNAPTNMTANKERFOREIGNMooring"/>
    <n v="3.4720000000000001E-2"/>
    <n v="200"/>
    <s v="USD"/>
  </r>
  <r>
    <x v="0"/>
    <x v="5"/>
    <x v="3"/>
    <x v="0"/>
    <x v="4"/>
    <s v="KRISHNAPTNMTANKERFOREIGNPESP &amp; Dredging"/>
    <n v="2.6270999999999999E-2"/>
    <n v="0"/>
    <s v="USD"/>
  </r>
  <r>
    <x v="0"/>
    <x v="5"/>
    <x v="3"/>
    <x v="1"/>
    <x v="0"/>
    <s v="KRISHNAPTNMTANKERCOASTALPort Dues"/>
    <n v="0.09"/>
    <n v="500"/>
    <s v="USD"/>
  </r>
  <r>
    <x v="0"/>
    <x v="5"/>
    <x v="3"/>
    <x v="1"/>
    <x v="1"/>
    <s v="KRISHNAPTNMTANKERCOASTALPilotage"/>
    <n v="1.2535000000000001"/>
    <n v="0"/>
    <s v="USD"/>
  </r>
  <r>
    <x v="0"/>
    <x v="5"/>
    <x v="3"/>
    <x v="1"/>
    <x v="2"/>
    <s v="KRISHNAPTNMTANKERCOASTALBerth Hire"/>
    <n v="0.01"/>
    <n v="500"/>
    <s v="USD"/>
  </r>
  <r>
    <x v="0"/>
    <x v="5"/>
    <x v="3"/>
    <x v="1"/>
    <x v="3"/>
    <s v="KRISHNAPTNMTANKERCOASTALMooring"/>
    <n v="3.4720000000000001E-2"/>
    <n v="200"/>
    <s v="USD"/>
  </r>
  <r>
    <x v="0"/>
    <x v="5"/>
    <x v="3"/>
    <x v="1"/>
    <x v="4"/>
    <s v="KRISHNAPTNMTANKERCOASTALPESP &amp; Dredging"/>
    <n v="2.6270999999999999E-2"/>
    <n v="0"/>
    <s v="USD"/>
  </r>
  <r>
    <x v="0"/>
    <x v="5"/>
    <x v="3"/>
    <x v="1"/>
    <x v="5"/>
    <s v="KRISHNAPTNMTANKERCOASTALSustainability"/>
    <n v="0.115"/>
    <n v="0"/>
    <s v="USD"/>
  </r>
  <r>
    <x v="0"/>
    <x v="5"/>
    <x v="3"/>
    <x v="0"/>
    <x v="5"/>
    <s v="KRISHNAPTNMTANKERFOREIGNSustainability"/>
    <n v="0.115"/>
    <n v="0"/>
    <s v="US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50946E4-75C8-45F8-91B4-DD852B805460}"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H3:AH5" firstHeaderRow="1" firstDataRow="1" firstDataCol="1"/>
  <pivotFields count="9">
    <pivotField showAll="0">
      <items count="3">
        <item x="0"/>
        <item h="1" x="1"/>
        <item t="default"/>
      </items>
    </pivotField>
    <pivotField axis="axisRow" showAll="0">
      <items count="17">
        <item h="1" x="1"/>
        <item h="1" x="2"/>
        <item h="1" x="6"/>
        <item h="1" x="9"/>
        <item h="1" x="8"/>
        <item h="1" m="1" x="14"/>
        <item h="1" x="4"/>
        <item h="1" x="3"/>
        <item h="1" m="1" x="13"/>
        <item h="1" x="0"/>
        <item h="1" x="7"/>
        <item h="1" m="1" x="12"/>
        <item h="1" x="10"/>
        <item x="11"/>
        <item h="1" m="1" x="15"/>
        <item h="1" x="5"/>
        <item t="default"/>
      </items>
    </pivotField>
    <pivotField showAll="0">
      <items count="19">
        <item h="1" m="1" x="10"/>
        <item h="1" x="1"/>
        <item h="1" m="1" x="12"/>
        <item h="1" m="1" x="14"/>
        <item h="1" m="1" x="7"/>
        <item h="1" x="2"/>
        <item h="1" m="1" x="6"/>
        <item h="1" m="1" x="16"/>
        <item x="0"/>
        <item h="1" m="1" x="15"/>
        <item h="1" m="1" x="11"/>
        <item h="1" m="1" x="13"/>
        <item h="1" m="1" x="17"/>
        <item h="1" x="4"/>
        <item h="1" m="1" x="9"/>
        <item h="1" m="1" x="8"/>
        <item h="1" x="3"/>
        <item h="1" m="1" x="5"/>
        <item t="default"/>
      </items>
    </pivotField>
    <pivotField showAll="0">
      <items count="6">
        <item h="1" x="1"/>
        <item h="1" m="1" x="3"/>
        <item x="0"/>
        <item h="1" m="1" x="4"/>
        <item h="1" m="1" x="2"/>
        <item t="default"/>
      </items>
    </pivotField>
    <pivotField showAll="0"/>
    <pivotField showAll="0"/>
    <pivotField showAll="0"/>
    <pivotField showAll="0"/>
    <pivotField showAll="0"/>
  </pivotFields>
  <rowFields count="1">
    <field x="1"/>
  </rowFields>
  <rowItems count="2">
    <i>
      <x v="1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8584504-2E9E-4FD1-BC8B-BE3AEAAA450A}" name="PivotTable3"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L3:AL5" firstHeaderRow="1" firstDataRow="1" firstDataCol="1"/>
  <pivotFields count="9">
    <pivotField showAll="0">
      <items count="3">
        <item x="0"/>
        <item h="1" x="1"/>
        <item t="default"/>
      </items>
    </pivotField>
    <pivotField showAll="0">
      <items count="17">
        <item h="1" x="1"/>
        <item h="1" x="2"/>
        <item h="1" x="6"/>
        <item h="1" x="9"/>
        <item h="1" x="10"/>
        <item h="1" x="8"/>
        <item h="1" m="1" x="14"/>
        <item h="1" x="4"/>
        <item x="11"/>
        <item h="1" x="3"/>
        <item h="1" m="1" x="13"/>
        <item h="1" m="1" x="15"/>
        <item h="1" x="5"/>
        <item h="1" m="1" x="12"/>
        <item h="1" x="0"/>
        <item h="1" x="7"/>
        <item t="default"/>
      </items>
    </pivotField>
    <pivotField showAll="0">
      <items count="19">
        <item h="1" m="1" x="10"/>
        <item h="1" x="1"/>
        <item h="1" m="1" x="12"/>
        <item h="1" m="1" x="14"/>
        <item h="1" m="1" x="7"/>
        <item h="1" x="2"/>
        <item h="1" m="1" x="6"/>
        <item h="1" m="1" x="16"/>
        <item x="0"/>
        <item h="1" m="1" x="15"/>
        <item h="1" m="1" x="11"/>
        <item h="1" m="1" x="13"/>
        <item h="1" m="1" x="17"/>
        <item h="1" x="4"/>
        <item h="1" m="1" x="9"/>
        <item h="1" m="1" x="8"/>
        <item h="1" x="3"/>
        <item h="1" m="1" x="5"/>
        <item t="default"/>
      </items>
    </pivotField>
    <pivotField axis="axisRow" showAll="0">
      <items count="6">
        <item h="1" x="1"/>
        <item x="0"/>
        <item h="1" m="1" x="2"/>
        <item h="1" m="1" x="4"/>
        <item h="1" m="1" x="3"/>
        <item t="default"/>
      </items>
    </pivotField>
    <pivotField showAll="0"/>
    <pivotField showAll="0"/>
    <pivotField showAll="0"/>
    <pivotField showAll="0"/>
    <pivotField showAll="0"/>
  </pivotFields>
  <rowFields count="1">
    <field x="3"/>
  </rowFields>
  <rowItems count="2">
    <i>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6ECCCF1-4C15-4F34-97E6-EC1D91575882}" name="PivotTable5"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N3:AN5" firstHeaderRow="1" firstDataRow="1" firstDataCol="1"/>
  <pivotFields count="1">
    <pivotField axis="axisRow" showAll="0">
      <items count="3">
        <item x="0"/>
        <item h="1" x="1"/>
        <item t="default"/>
      </items>
    </pivotField>
  </pivotFields>
  <rowFields count="1">
    <field x="0"/>
  </rowFields>
  <rowItems count="2">
    <i>
      <x/>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58AEC0F-4102-4CF6-AEC3-B99E8F70B8FF}" name="PivotTable2"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J3:AJ5" firstHeaderRow="1" firstDataRow="1" firstDataCol="1"/>
  <pivotFields count="9">
    <pivotField showAll="0">
      <items count="3">
        <item x="0"/>
        <item h="1" x="1"/>
        <item t="default"/>
      </items>
    </pivotField>
    <pivotField showAll="0">
      <items count="17">
        <item h="1" x="1"/>
        <item h="1" x="2"/>
        <item h="1" x="6"/>
        <item h="1" x="9"/>
        <item h="1" x="10"/>
        <item h="1" x="8"/>
        <item h="1" m="1" x="14"/>
        <item h="1" x="4"/>
        <item x="11"/>
        <item h="1" x="3"/>
        <item h="1" m="1" x="13"/>
        <item h="1" m="1" x="15"/>
        <item h="1" x="5"/>
        <item h="1" m="1" x="12"/>
        <item h="1" x="0"/>
        <item h="1" x="7"/>
        <item t="default"/>
      </items>
    </pivotField>
    <pivotField axis="axisRow" showAll="0">
      <items count="19">
        <item h="1" m="1" x="14"/>
        <item h="1" x="2"/>
        <item h="1" m="1" x="6"/>
        <item h="1" m="1" x="15"/>
        <item h="1" m="1" x="17"/>
        <item h="1" m="1" x="9"/>
        <item h="1" x="3"/>
        <item h="1" m="1" x="5"/>
        <item h="1" m="1" x="13"/>
        <item h="1" m="1" x="16"/>
        <item x="0"/>
        <item h="1" m="1" x="11"/>
        <item h="1" m="1" x="7"/>
        <item h="1" x="4"/>
        <item h="1" m="1" x="10"/>
        <item h="1" m="1" x="8"/>
        <item h="1" x="1"/>
        <item h="1" m="1" x="12"/>
        <item t="default"/>
      </items>
    </pivotField>
    <pivotField showAll="0">
      <items count="6">
        <item h="1" x="1"/>
        <item h="1" m="1" x="3"/>
        <item x="0"/>
        <item h="1" m="1" x="4"/>
        <item h="1" m="1" x="2"/>
        <item t="default"/>
      </items>
    </pivotField>
    <pivotField showAll="0"/>
    <pivotField showAll="0"/>
    <pivotField showAll="0"/>
    <pivotField showAll="0"/>
    <pivotField showAll="0"/>
  </pivotFields>
  <rowFields count="1">
    <field x="2"/>
  </rowFields>
  <rowItems count="2">
    <i>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9E976E6-1E58-4FCC-8452-9448CE552E18}" name="PivotTable1" cacheId="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2:G202" firstHeaderRow="0" firstDataRow="1" firstDataCol="5"/>
  <pivotFields count="9">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16">
        <item x="1"/>
        <item x="2"/>
        <item x="6"/>
        <item x="9"/>
        <item x="10"/>
        <item x="8"/>
        <item m="1" x="14"/>
        <item x="4"/>
        <item x="11"/>
        <item x="3"/>
        <item m="1" x="13"/>
        <item m="1" x="15"/>
        <item m="1" x="12"/>
        <item x="0"/>
        <item x="7"/>
        <item x="5"/>
      </items>
      <extLst>
        <ext xmlns:x14="http://schemas.microsoft.com/office/spreadsheetml/2009/9/main" uri="{2946ED86-A175-432a-8AC1-64E0C546D7DE}">
          <x14:pivotField fillDownLabels="1"/>
        </ext>
      </extLst>
    </pivotField>
    <pivotField axis="axisRow" compact="0" outline="0" showAll="0" defaultSubtotal="0">
      <items count="18">
        <item m="1" x="14"/>
        <item m="1" x="7"/>
        <item x="2"/>
        <item m="1" x="6"/>
        <item m="1" x="16"/>
        <item x="0"/>
        <item m="1" x="15"/>
        <item m="1" x="11"/>
        <item m="1" x="13"/>
        <item m="1" x="17"/>
        <item x="4"/>
        <item m="1" x="9"/>
        <item x="3"/>
        <item m="1" x="5"/>
        <item m="1" x="10"/>
        <item m="1" x="8"/>
        <item x="1"/>
        <item m="1" x="12"/>
      </items>
      <extLst>
        <ext xmlns:x14="http://schemas.microsoft.com/office/spreadsheetml/2009/9/main" uri="{2946ED86-A175-432a-8AC1-64E0C546D7DE}">
          <x14:pivotField fillDownLabels="1"/>
        </ext>
      </extLst>
    </pivotField>
    <pivotField axis="axisRow" compact="0" outline="0" showAll="0" defaultSubtotal="0">
      <items count="5">
        <item x="1"/>
        <item m="1" x="3"/>
        <item x="0"/>
        <item m="1" x="4"/>
        <item m="1" x="2"/>
      </items>
      <extLst>
        <ext xmlns:x14="http://schemas.microsoft.com/office/spreadsheetml/2009/9/main" uri="{2946ED86-A175-432a-8AC1-64E0C546D7DE}">
          <x14:pivotField fillDownLabels="1"/>
        </ext>
      </extLst>
    </pivotField>
    <pivotField axis="axisRow" compact="0" outline="0" showAll="0" defaultSubtotal="0">
      <items count="8">
        <item x="2"/>
        <item m="1" x="7"/>
        <item x="3"/>
        <item x="4"/>
        <item x="1"/>
        <item x="0"/>
        <item x="5"/>
        <item m="1"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5">
    <field x="0"/>
    <field x="1"/>
    <field x="2"/>
    <field x="3"/>
    <field x="4"/>
  </rowFields>
  <rowItems count="190">
    <i>
      <x/>
      <x/>
      <x v="5"/>
      <x v="2"/>
      <x/>
    </i>
    <i r="4">
      <x v="2"/>
    </i>
    <i r="4">
      <x v="3"/>
    </i>
    <i r="4">
      <x v="4"/>
    </i>
    <i r="4">
      <x v="5"/>
    </i>
    <i r="2">
      <x v="16"/>
      <x v="2"/>
      <x/>
    </i>
    <i r="4">
      <x v="2"/>
    </i>
    <i r="4">
      <x v="3"/>
    </i>
    <i r="4">
      <x v="4"/>
    </i>
    <i r="4">
      <x v="5"/>
    </i>
    <i r="1">
      <x v="1"/>
      <x v="5"/>
      <x v="2"/>
      <x/>
    </i>
    <i r="4">
      <x v="2"/>
    </i>
    <i r="4">
      <x v="3"/>
    </i>
    <i r="4">
      <x v="4"/>
    </i>
    <i r="4">
      <x v="5"/>
    </i>
    <i r="1">
      <x v="2"/>
      <x v="5"/>
      <x v="2"/>
      <x/>
    </i>
    <i r="4">
      <x v="2"/>
    </i>
    <i r="4">
      <x v="3"/>
    </i>
    <i r="4">
      <x v="4"/>
    </i>
    <i r="4">
      <x v="5"/>
    </i>
    <i r="2">
      <x v="10"/>
      <x v="2"/>
      <x/>
    </i>
    <i r="4">
      <x v="2"/>
    </i>
    <i r="4">
      <x v="3"/>
    </i>
    <i r="4">
      <x v="4"/>
    </i>
    <i r="4">
      <x v="5"/>
    </i>
    <i r="2">
      <x v="12"/>
      <x v="2"/>
      <x/>
    </i>
    <i r="4">
      <x v="2"/>
    </i>
    <i r="4">
      <x v="3"/>
    </i>
    <i r="4">
      <x v="4"/>
    </i>
    <i r="4">
      <x v="5"/>
    </i>
    <i r="1">
      <x v="4"/>
      <x v="2"/>
      <x v="2"/>
      <x/>
    </i>
    <i r="4">
      <x v="2"/>
    </i>
    <i r="4">
      <x v="3"/>
    </i>
    <i r="4">
      <x v="4"/>
    </i>
    <i r="4">
      <x v="5"/>
    </i>
    <i r="4">
      <x v="6"/>
    </i>
    <i r="2">
      <x v="5"/>
      <x v="2"/>
      <x/>
    </i>
    <i r="4">
      <x v="2"/>
    </i>
    <i r="4">
      <x v="3"/>
    </i>
    <i r="4">
      <x v="4"/>
    </i>
    <i r="4">
      <x v="5"/>
    </i>
    <i r="4">
      <x v="6"/>
    </i>
    <i r="2">
      <x v="16"/>
      <x v="2"/>
      <x/>
    </i>
    <i r="4">
      <x v="2"/>
    </i>
    <i r="4">
      <x v="3"/>
    </i>
    <i r="4">
      <x v="4"/>
    </i>
    <i r="4">
      <x v="5"/>
    </i>
    <i r="4">
      <x v="6"/>
    </i>
    <i r="1">
      <x v="7"/>
      <x v="2"/>
      <x v="2"/>
      <x/>
    </i>
    <i r="4">
      <x v="2"/>
    </i>
    <i r="4">
      <x v="3"/>
    </i>
    <i r="4">
      <x v="4"/>
    </i>
    <i r="4">
      <x v="5"/>
    </i>
    <i r="2">
      <x v="5"/>
      <x v="2"/>
      <x/>
    </i>
    <i r="4">
      <x v="2"/>
    </i>
    <i r="4">
      <x v="3"/>
    </i>
    <i r="4">
      <x v="4"/>
    </i>
    <i r="4">
      <x v="5"/>
    </i>
    <i r="2">
      <x v="12"/>
      <x v="2"/>
      <x/>
    </i>
    <i r="4">
      <x v="2"/>
    </i>
    <i r="4">
      <x v="3"/>
    </i>
    <i r="4">
      <x v="4"/>
    </i>
    <i r="4">
      <x v="5"/>
    </i>
    <i r="2">
      <x v="16"/>
      <x v="2"/>
      <x/>
    </i>
    <i r="4">
      <x v="2"/>
    </i>
    <i r="4">
      <x v="3"/>
    </i>
    <i r="4">
      <x v="4"/>
    </i>
    <i r="4">
      <x v="5"/>
    </i>
    <i r="1">
      <x v="8"/>
      <x v="5"/>
      <x v="2"/>
      <x/>
    </i>
    <i r="4">
      <x v="2"/>
    </i>
    <i r="4">
      <x v="3"/>
    </i>
    <i r="4">
      <x v="4"/>
    </i>
    <i r="4">
      <x v="5"/>
    </i>
    <i r="2">
      <x v="12"/>
      <x v="2"/>
      <x/>
    </i>
    <i r="4">
      <x v="2"/>
    </i>
    <i r="4">
      <x v="3"/>
    </i>
    <i r="4">
      <x v="4"/>
    </i>
    <i r="4">
      <x v="5"/>
    </i>
    <i r="2">
      <x v="16"/>
      <x v="2"/>
      <x/>
    </i>
    <i r="4">
      <x v="2"/>
    </i>
    <i r="4">
      <x v="3"/>
    </i>
    <i r="4">
      <x v="4"/>
    </i>
    <i r="4">
      <x v="5"/>
    </i>
    <i r="1">
      <x v="9"/>
      <x v="2"/>
      <x/>
      <x/>
    </i>
    <i r="4">
      <x v="2"/>
    </i>
    <i r="4">
      <x v="3"/>
    </i>
    <i r="4">
      <x v="4"/>
    </i>
    <i r="3">
      <x v="2"/>
      <x/>
    </i>
    <i r="4">
      <x v="2"/>
    </i>
    <i r="4">
      <x v="3"/>
    </i>
    <i r="4">
      <x v="4"/>
    </i>
    <i r="2">
      <x v="5"/>
      <x/>
      <x/>
    </i>
    <i r="4">
      <x v="2"/>
    </i>
    <i r="4">
      <x v="3"/>
    </i>
    <i r="4">
      <x v="4"/>
    </i>
    <i r="3">
      <x v="2"/>
      <x/>
    </i>
    <i r="4">
      <x v="2"/>
    </i>
    <i r="4">
      <x v="3"/>
    </i>
    <i r="4">
      <x v="4"/>
    </i>
    <i r="2">
      <x v="12"/>
      <x/>
      <x/>
    </i>
    <i r="4">
      <x v="2"/>
    </i>
    <i r="4">
      <x v="3"/>
    </i>
    <i r="4">
      <x v="4"/>
    </i>
    <i r="3">
      <x v="2"/>
      <x/>
    </i>
    <i r="4">
      <x v="2"/>
    </i>
    <i r="4">
      <x v="3"/>
    </i>
    <i r="4">
      <x v="4"/>
    </i>
    <i r="2">
      <x v="16"/>
      <x/>
      <x/>
    </i>
    <i r="4">
      <x v="2"/>
    </i>
    <i r="4">
      <x v="3"/>
    </i>
    <i r="4">
      <x v="4"/>
    </i>
    <i r="3">
      <x v="2"/>
      <x/>
    </i>
    <i r="4">
      <x v="2"/>
    </i>
    <i r="4">
      <x v="3"/>
    </i>
    <i r="4">
      <x v="4"/>
    </i>
    <i r="1">
      <x v="13"/>
      <x v="2"/>
      <x v="2"/>
      <x/>
    </i>
    <i r="4">
      <x v="2"/>
    </i>
    <i r="4">
      <x v="3"/>
    </i>
    <i r="4">
      <x v="4"/>
    </i>
    <i r="4">
      <x v="5"/>
    </i>
    <i r="2">
      <x v="5"/>
      <x v="2"/>
      <x/>
    </i>
    <i r="4">
      <x v="2"/>
    </i>
    <i r="4">
      <x v="3"/>
    </i>
    <i r="4">
      <x v="4"/>
    </i>
    <i r="4">
      <x v="5"/>
    </i>
    <i r="2">
      <x v="12"/>
      <x v="2"/>
      <x/>
    </i>
    <i r="4">
      <x v="2"/>
    </i>
    <i r="4">
      <x v="3"/>
    </i>
    <i r="4">
      <x v="4"/>
    </i>
    <i r="4">
      <x v="5"/>
    </i>
    <i r="2">
      <x v="16"/>
      <x v="2"/>
      <x/>
    </i>
    <i r="4">
      <x v="2"/>
    </i>
    <i r="4">
      <x v="3"/>
    </i>
    <i r="4">
      <x v="4"/>
    </i>
    <i r="4">
      <x v="5"/>
    </i>
    <i r="1">
      <x v="15"/>
      <x v="2"/>
      <x/>
      <x/>
    </i>
    <i r="4">
      <x v="2"/>
    </i>
    <i r="4">
      <x v="3"/>
    </i>
    <i r="4">
      <x v="4"/>
    </i>
    <i r="4">
      <x v="5"/>
    </i>
    <i r="4">
      <x v="6"/>
    </i>
    <i r="3">
      <x v="2"/>
      <x/>
    </i>
    <i r="4">
      <x v="2"/>
    </i>
    <i r="4">
      <x v="3"/>
    </i>
    <i r="4">
      <x v="4"/>
    </i>
    <i r="4">
      <x v="5"/>
    </i>
    <i r="4">
      <x v="6"/>
    </i>
    <i r="2">
      <x v="5"/>
      <x/>
      <x/>
    </i>
    <i r="4">
      <x v="2"/>
    </i>
    <i r="4">
      <x v="3"/>
    </i>
    <i r="4">
      <x v="4"/>
    </i>
    <i r="4">
      <x v="5"/>
    </i>
    <i r="4">
      <x v="6"/>
    </i>
    <i r="3">
      <x v="2"/>
      <x/>
    </i>
    <i r="4">
      <x v="2"/>
    </i>
    <i r="4">
      <x v="3"/>
    </i>
    <i r="4">
      <x v="4"/>
    </i>
    <i r="4">
      <x v="5"/>
    </i>
    <i r="4">
      <x v="6"/>
    </i>
    <i r="2">
      <x v="12"/>
      <x/>
      <x/>
    </i>
    <i r="4">
      <x v="2"/>
    </i>
    <i r="4">
      <x v="3"/>
    </i>
    <i r="4">
      <x v="4"/>
    </i>
    <i r="4">
      <x v="5"/>
    </i>
    <i r="4">
      <x v="6"/>
    </i>
    <i r="3">
      <x v="2"/>
      <x/>
    </i>
    <i r="4">
      <x v="2"/>
    </i>
    <i r="4">
      <x v="3"/>
    </i>
    <i r="4">
      <x v="4"/>
    </i>
    <i r="4">
      <x v="5"/>
    </i>
    <i r="4">
      <x v="6"/>
    </i>
    <i r="2">
      <x v="16"/>
      <x/>
      <x/>
    </i>
    <i r="4">
      <x v="2"/>
    </i>
    <i r="4">
      <x v="3"/>
    </i>
    <i r="4">
      <x v="4"/>
    </i>
    <i r="4">
      <x v="5"/>
    </i>
    <i r="4">
      <x v="6"/>
    </i>
    <i r="3">
      <x v="2"/>
      <x/>
    </i>
    <i r="4">
      <x v="2"/>
    </i>
    <i r="4">
      <x v="3"/>
    </i>
    <i r="4">
      <x v="4"/>
    </i>
    <i r="4">
      <x v="5"/>
    </i>
    <i r="4">
      <x v="6"/>
    </i>
    <i>
      <x v="1"/>
      <x v="3"/>
      <x v="2"/>
      <x/>
      <x/>
    </i>
    <i r="3">
      <x v="2"/>
      <x/>
    </i>
    <i r="1">
      <x v="5"/>
      <x v="5"/>
      <x/>
      <x/>
    </i>
    <i r="3">
      <x v="2"/>
      <x/>
    </i>
    <i r="1">
      <x v="14"/>
      <x v="5"/>
      <x/>
      <x/>
    </i>
    <i r="3">
      <x v="2"/>
      <x/>
    </i>
    <i t="grand">
      <x/>
    </i>
  </rowItems>
  <colFields count="1">
    <field x="-2"/>
  </colFields>
  <colItems count="2">
    <i>
      <x/>
    </i>
    <i i="1">
      <x v="1"/>
    </i>
  </colItems>
  <dataFields count="2">
    <dataField name="Sum of Tariff" fld="6" baseField="0" baseItem="0"/>
    <dataField name="Sum of Min Charges"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RT1" xr10:uid="{ED5FEF95-EA09-461E-81AC-09DF989D4265}" sourceName="PORT">
  <pivotTables>
    <pivotTable tabId="5" name="PivotTable1"/>
    <pivotTable tabId="5" name="PivotTable2"/>
    <pivotTable tabId="5" name="PivotTable3"/>
  </pivotTables>
  <data>
    <tabular pivotCacheId="450244221" showMissing="0">
      <items count="16">
        <i x="1"/>
        <i x="2"/>
        <i x="6"/>
        <i x="10"/>
        <i x="4"/>
        <i x="11" s="1"/>
        <i x="3"/>
        <i x="5"/>
        <i x="0"/>
        <i x="9" nd="1"/>
        <i x="8" nd="1"/>
        <i x="7" nd="1"/>
        <i x="14" nd="1"/>
        <i x="13" nd="1"/>
        <i x="15" nd="1"/>
        <i x="12"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SEL_TYPE1" xr10:uid="{EAA62753-D870-4BDB-9714-A9A2610DD8F1}" sourceName="VESSEL TYPE">
  <pivotTables>
    <pivotTable tabId="5" name="PivotTable1"/>
    <pivotTable tabId="5" name="PivotTable2"/>
    <pivotTable tabId="5" name="PivotTable3"/>
  </pivotTables>
  <data>
    <tabular pivotCacheId="450244221" showMissing="0">
      <items count="18">
        <i x="1"/>
        <i x="0" s="1"/>
        <i x="3"/>
        <i x="2" nd="1"/>
        <i x="4" nd="1"/>
        <i x="10" nd="1"/>
        <i x="12" nd="1"/>
        <i x="14" nd="1"/>
        <i x="7" nd="1"/>
        <i x="6" nd="1"/>
        <i x="16" nd="1"/>
        <i x="15" nd="1"/>
        <i x="11" nd="1"/>
        <i x="13" nd="1"/>
        <i x="17" nd="1"/>
        <i x="9" nd="1"/>
        <i x="8" nd="1"/>
        <i x="5"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SEL_RUN1" xr10:uid="{9D5FA431-5640-4D24-80FB-1251973083C1}" sourceName="VESSEL RUN">
  <pivotTables>
    <pivotTable tabId="5" name="PivotTable1"/>
    <pivotTable tabId="5" name="PivotTable2"/>
    <pivotTable tabId="5" name="PivotTable3"/>
  </pivotTables>
  <data>
    <tabular pivotCacheId="450244221" showMissing="0" crossFilter="showItemsWithNoData">
      <items count="5">
        <i x="1" nd="1"/>
        <i x="0" s="1"/>
        <i x="3" nd="1"/>
        <i x="4" nd="1"/>
        <i x="2"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1" xr10:uid="{83915091-C4CB-4C41-808F-5BF1EBE6385B}" sourceName="TYPE">
  <pivotTables>
    <pivotTable tabId="5" name="PivotTable2"/>
    <pivotTable tabId="5" name="PivotTable1"/>
    <pivotTable tabId="5" name="PivotTable3"/>
  </pivotTables>
  <data>
    <tabular pivotCacheId="450244221" showMissing="0" crossFilter="showItemsWithNoData">
      <items count="2">
        <i x="0" s="1"/>
        <i x="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1" xr10:uid="{3A797E6F-F905-40C8-B499-53BBC3C82C5D}" sourceName="CURR">
  <pivotTables>
    <pivotTable tabId="5" name="PivotTable5"/>
  </pivotTables>
  <data>
    <tabular pivotCacheId="303590296">
      <items count="2">
        <i x="0" s="1"/>
        <i x="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ORT 3" xr10:uid="{FBD0BABE-C8D4-4034-8589-F16E4D9FD53F}" cache="Slicer_PORT1" caption="PORT" columnCount="9" showCaption="0" style="Location" lockedPosition="1" rowHeight="396000"/>
  <slicer name="VESSEL TYPE 2" xr10:uid="{5EA1E48B-E3F8-47E0-8E53-9684E4A12886}" cache="Slicer_VESSEL_TYPE1" caption="VESSEL TYPE" style="Location" rowHeight="396000"/>
  <slicer name="VESSEL RUN 2" xr10:uid="{9F5220CC-BADB-4632-86A9-7815F52A32AA}" cache="Slicer_VESSEL_RUN1" caption="VESSEL RUN" showCaption="0" style="Location" lockedPosition="1" rowHeight="396000"/>
  <slicer name="TYPE 2" xr10:uid="{51B37DAA-AC9B-4E93-91A2-6ED90ACD0A9C}" cache="Slicer_TYPE1" caption="TYPE" columnCount="2" showCaption="0" style="Location" lockedPosition="1" rowHeight="396000"/>
  <slicer name="CURR" xr10:uid="{4B129DED-FD8E-488E-82B2-54F612B49F4C}" cache="Slicer_CURR1" caption="CURR" columnCount="2" showCaption="0" style="Vessel_Type" lockedPosition="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8AB87CB-1B0A-4CD5-B934-D90B06D41A71}" name="Table137" displayName="Table137" ref="B5:J194" totalsRowShown="0">
  <autoFilter ref="B5:J194" xr:uid="{A2BD096F-EC0A-49AE-8441-1C74A76C33A3}"/>
  <tableColumns count="9">
    <tableColumn id="6" xr3:uid="{DBD01DA4-FCA4-40F8-9F97-B4218F62DFFB}" name="TYPE"/>
    <tableColumn id="1" xr3:uid="{2509F626-A16D-44C1-A504-8BBD878246EB}" name="PORT"/>
    <tableColumn id="7" xr3:uid="{0056D7EE-9C1A-4F4E-98AF-523F79B12E9D}" name="VESSEL TYPE"/>
    <tableColumn id="4" xr3:uid="{8E6A781B-8C38-498E-BF39-F764BECE90BC}" name="VESSEL RUN"/>
    <tableColumn id="2" xr3:uid="{4303CB7D-A511-4D26-BA41-398346E8D5EA}" name="SERVICE"/>
    <tableColumn id="8" xr3:uid="{F0D85971-93F0-4067-BF19-1B175F880D87}" name="KEY" dataDxfId="12">
      <calculatedColumnFormula>Table137[[#This Row],[PORT]]&amp;Table137[[#This Row],[VESSEL TYPE]]&amp;Table137[[#This Row],[VESSEL RUN]]&amp;Table137[[#This Row],[SERVICE]]</calculatedColumnFormula>
    </tableColumn>
    <tableColumn id="3" xr3:uid="{B3B14471-7C6F-421F-A417-388CC4F77F7E}" name="Tariff"/>
    <tableColumn id="5" xr3:uid="{6D77BAEA-9D92-49C6-93CD-E58145F153D0}" name="Min Charges"/>
    <tableColumn id="9" xr3:uid="{FFEB3D6D-14B1-476D-B162-CE3DCF543444}" name="TARIFF CUR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78232B-97BE-455D-96E6-2418985C630E}" name="Table2" displayName="Table2" ref="N1:N3" totalsRowShown="0">
  <autoFilter ref="N1:N3" xr:uid="{7278232B-97BE-455D-96E6-2418985C630E}"/>
  <tableColumns count="1">
    <tableColumn id="1" xr3:uid="{B8038B23-AC23-4A8C-88D0-2B7A5F4B3C9F}" name="CUR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B61B58-223E-4905-9691-D691F63ADC33}" name="Table5" displayName="Table5" ref="J12:W201" totalsRowShown="0" headerRowDxfId="11">
  <autoFilter ref="J12:W201" xr:uid="{ADE6B2BB-E9D3-4FC8-AC9E-2756A1A6F2FD}"/>
  <tableColumns count="14">
    <tableColumn id="1" xr3:uid="{8A4D179D-BEEE-4AD1-833F-CB6F9FD36FAB}" name="FILTER">
      <calculatedColumnFormula>K13&amp;L13&amp;M13&amp;N13</calculatedColumnFormula>
    </tableColumn>
    <tableColumn id="2" xr3:uid="{7316E04F-0606-4807-B219-3FBC27C4FBAA}" name="PORT" dataDxfId="10">
      <calculatedColumnFormula>B13</calculatedColumnFormula>
    </tableColumn>
    <tableColumn id="3" xr3:uid="{AE9CA2FE-9276-407F-8DB0-D0BAD99FA7D8}" name="VESSEL TYPE" dataDxfId="9">
      <calculatedColumnFormula>C13</calculatedColumnFormula>
    </tableColumn>
    <tableColumn id="4" xr3:uid="{F1548AAF-583C-495D-AB17-6CA3941B3E0D}" name="VESSEL RUN" dataDxfId="8">
      <calculatedColumnFormula>D13</calculatedColumnFormula>
    </tableColumn>
    <tableColumn id="5" xr3:uid="{86435421-A703-4D95-AEBA-29D64EFB3454}" name="SERVICE" dataDxfId="7">
      <calculatedColumnFormula>E13</calculatedColumnFormula>
    </tableColumn>
    <tableColumn id="10" xr3:uid="{F2058580-1E48-4EE2-9156-85A1C5226CA9}" name="GT" dataDxfId="6">
      <calculatedColumnFormula>IF(N13="PESP &amp; Dredging",1,$X$1)</calculatedColumnFormula>
    </tableColumn>
    <tableColumn id="6" xr3:uid="{17749036-9E00-47B6-A7F8-C91A8E0CA080}" name="Tariff" dataDxfId="5">
      <calculatedColumnFormula>IFERROR(VLOOKUP(J13,'Tariff Master'!G:J,2,0),0)</calculatedColumnFormula>
    </tableColumn>
    <tableColumn id="11" xr3:uid="{2083199C-C38C-4109-9E01-FA4875D75770}" name="Qty" dataDxfId="4">
      <calculatedColumnFormula>IF(N13="Berth Hire",$X$2,1)</calculatedColumnFormula>
    </tableColumn>
    <tableColumn id="13" xr3:uid="{D7F782B6-FEFC-4AC2-B3E1-EFE728880A16}" name="Amt USD" dataDxfId="3" dataCellStyle="Comma">
      <calculatedColumnFormula>MAX(O13*P13*IF(N13="Berth Hire",Q13,1),S13)</calculatedColumnFormula>
    </tableColumn>
    <tableColumn id="7" xr3:uid="{7E996729-D061-4E0C-8DCC-B22AE8BCB5EE}" name="Min Charges" dataDxfId="2">
      <calculatedColumnFormula>IFERROR(VLOOKUP(J13,'Tariff Master'!G:J,3,0),0)</calculatedColumnFormula>
    </tableColumn>
    <tableColumn id="8" xr3:uid="{91D529A9-3117-4757-8D35-55EE6CBC87D5}" name="TARIFF CURR" dataDxfId="1">
      <calculatedColumnFormula>IFERROR(VLOOKUP(J13,'Tariff Master'!G:J,4,0),0)</calculatedColumnFormula>
    </tableColumn>
    <tableColumn id="9" xr3:uid="{33FCE052-8133-47A7-B996-8C1BF53B2A8A}" name="&lt;&gt;"/>
    <tableColumn id="12" xr3:uid="{56C3B69F-7F95-42E4-8722-78EBE1CD2D76}" name="EX RATE">
      <calculatedColumnFormula>$X$3</calculatedColumnFormula>
    </tableColumn>
    <tableColumn id="14" xr3:uid="{61F92834-9547-4D59-9367-32E3FB802A29}" name="AmtINR" dataDxfId="0">
      <calculatedColumnFormula>R13*IF(T13="USD",V13,1)/10^7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3.bin"/><Relationship Id="rId4" Type="http://schemas.openxmlformats.org/officeDocument/2006/relationships/pivotTable" Target="../pivotTables/pivotTable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15.bin"/><Relationship Id="rId1" Type="http://schemas.openxmlformats.org/officeDocument/2006/relationships/pivotTable" Target="../pivotTables/pivotTable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0EB06-4DC4-4183-9E97-F28C0DBF545F}">
  <sheetPr>
    <tabColor rgb="FFFFFF00"/>
  </sheetPr>
  <dimension ref="B1:H4"/>
  <sheetViews>
    <sheetView workbookViewId="0">
      <selection activeCell="C18" sqref="C18"/>
    </sheetView>
  </sheetViews>
  <sheetFormatPr defaultRowHeight="14.4"/>
  <cols>
    <col min="2" max="2" width="32" bestFit="1" customWidth="1"/>
    <col min="3" max="3" width="14.33203125" bestFit="1" customWidth="1"/>
    <col min="4" max="4" width="10.33203125" bestFit="1" customWidth="1"/>
    <col min="5" max="5" width="6.33203125" bestFit="1" customWidth="1"/>
    <col min="6" max="6" width="25.88671875" bestFit="1" customWidth="1"/>
    <col min="7" max="7" width="16.44140625" bestFit="1" customWidth="1"/>
    <col min="8" max="8" width="8.109375" bestFit="1" customWidth="1"/>
  </cols>
  <sheetData>
    <row r="1" spans="2:8" ht="23.4">
      <c r="C1" s="150" t="s">
        <v>336</v>
      </c>
      <c r="D1" s="150"/>
    </row>
    <row r="2" spans="2:8">
      <c r="B2" s="5" t="s">
        <v>1</v>
      </c>
      <c r="C2" s="5" t="s">
        <v>10</v>
      </c>
      <c r="D2" s="5" t="s">
        <v>11</v>
      </c>
      <c r="E2" s="5" t="s">
        <v>12</v>
      </c>
      <c r="F2" s="5" t="s">
        <v>13</v>
      </c>
      <c r="G2" s="5" t="s">
        <v>356</v>
      </c>
      <c r="H2" s="5" t="s">
        <v>14</v>
      </c>
    </row>
    <row r="3" spans="2:8">
      <c r="B3" s="129" t="s">
        <v>370</v>
      </c>
      <c r="C3" s="13">
        <v>0.75</v>
      </c>
      <c r="D3" s="13">
        <v>0</v>
      </c>
      <c r="E3" s="14" t="s">
        <v>40</v>
      </c>
      <c r="F3" s="55"/>
      <c r="G3" s="55"/>
      <c r="H3" s="54"/>
    </row>
    <row r="4" spans="2:8">
      <c r="B4" s="129" t="s">
        <v>371</v>
      </c>
      <c r="C4" s="13">
        <v>0.44</v>
      </c>
      <c r="D4" s="13">
        <v>0</v>
      </c>
      <c r="E4" s="14" t="s">
        <v>40</v>
      </c>
      <c r="F4" s="55"/>
      <c r="G4" s="55"/>
      <c r="H4" s="54"/>
    </row>
  </sheetData>
  <mergeCells count="1">
    <mergeCell ref="C1:D1"/>
  </mergeCells>
  <conditionalFormatting sqref="H3">
    <cfRule type="containsText" dxfId="137" priority="4" operator="containsText" text="Verified">
      <formula>NOT(ISERROR(SEARCH("Verified",H3)))</formula>
    </cfRule>
    <cfRule type="containsText" dxfId="136" priority="5" operator="containsText" text="Verified">
      <formula>NOT(ISERROR(SEARCH("Verified",H3)))</formula>
    </cfRule>
    <cfRule type="containsText" dxfId="135" priority="6" operator="containsText" text="Verified">
      <formula>NOT(ISERROR(SEARCH("Verified",H3)))</formula>
    </cfRule>
  </conditionalFormatting>
  <conditionalFormatting sqref="H4">
    <cfRule type="containsText" dxfId="134" priority="1" operator="containsText" text="Verified">
      <formula>NOT(ISERROR(SEARCH("Verified",H4)))</formula>
    </cfRule>
    <cfRule type="containsText" dxfId="133" priority="2" operator="containsText" text="Verified">
      <formula>NOT(ISERROR(SEARCH("Verified",H4)))</formula>
    </cfRule>
    <cfRule type="containsText" dxfId="132" priority="3" operator="containsText" text="Verified">
      <formula>NOT(ISERROR(SEARCH("Verified",H4)))</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E279-BD71-417A-A6BA-1F910117A2C3}">
  <sheetPr>
    <tabColor rgb="FFFFFF00"/>
  </sheetPr>
  <dimension ref="B1:N40"/>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4.4"/>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109375" style="4" bestFit="1" customWidth="1"/>
    <col min="7" max="7" width="8.33203125" style="4" bestFit="1" customWidth="1"/>
    <col min="8" max="9" width="9.109375" style="4"/>
    <col min="10" max="10" width="14.6640625" style="4" bestFit="1" customWidth="1"/>
    <col min="11" max="11" width="10.5546875" style="4" bestFit="1" customWidth="1"/>
    <col min="12" max="12" width="9.109375" style="4"/>
    <col min="15" max="16384" width="9.109375" style="4"/>
  </cols>
  <sheetData>
    <row r="1" spans="2:11">
      <c r="B1" s="3" t="s">
        <v>218</v>
      </c>
      <c r="C1" s="185" t="s">
        <v>336</v>
      </c>
      <c r="D1" s="185"/>
      <c r="J1" s="185" t="s">
        <v>335</v>
      </c>
      <c r="K1" s="185"/>
    </row>
    <row r="2" spans="2:11">
      <c r="B2" s="17" t="s">
        <v>1</v>
      </c>
      <c r="C2" s="17" t="s">
        <v>10</v>
      </c>
      <c r="D2" s="17" t="s">
        <v>11</v>
      </c>
      <c r="E2" s="17" t="s">
        <v>12</v>
      </c>
      <c r="F2" s="17" t="s">
        <v>13</v>
      </c>
      <c r="G2" s="17" t="s">
        <v>14</v>
      </c>
      <c r="J2" s="17" t="s">
        <v>10</v>
      </c>
      <c r="K2" s="17" t="s">
        <v>11</v>
      </c>
    </row>
    <row r="3" spans="2:11">
      <c r="B3" s="127" t="s">
        <v>366</v>
      </c>
      <c r="C3" s="7">
        <v>6.3500000000000001E-2</v>
      </c>
      <c r="D3" s="7">
        <v>375</v>
      </c>
      <c r="E3" s="8" t="s">
        <v>16</v>
      </c>
      <c r="F3" s="9" t="s">
        <v>142</v>
      </c>
      <c r="G3" s="8" t="s">
        <v>17</v>
      </c>
      <c r="J3" s="7">
        <v>6.3500000000000001E-2</v>
      </c>
      <c r="K3" s="7">
        <v>375</v>
      </c>
    </row>
    <row r="4" spans="2:11">
      <c r="B4" s="128" t="s">
        <v>203</v>
      </c>
      <c r="C4" s="7">
        <v>6.8000000000000005E-2</v>
      </c>
      <c r="D4" s="7">
        <v>475</v>
      </c>
      <c r="E4" s="8" t="s">
        <v>16</v>
      </c>
      <c r="F4" s="9" t="s">
        <v>142</v>
      </c>
      <c r="G4" s="8" t="s">
        <v>37</v>
      </c>
      <c r="J4" s="7">
        <v>6.8000000000000005E-2</v>
      </c>
      <c r="K4" s="7">
        <v>475</v>
      </c>
    </row>
    <row r="5" spans="2:11">
      <c r="B5" s="32" t="s">
        <v>200</v>
      </c>
      <c r="C5" s="7">
        <v>0.3453</v>
      </c>
      <c r="D5" s="7">
        <v>0</v>
      </c>
      <c r="E5" s="8" t="s">
        <v>16</v>
      </c>
      <c r="F5" s="9" t="s">
        <v>142</v>
      </c>
      <c r="G5" s="8"/>
      <c r="J5" s="7">
        <v>0.3453</v>
      </c>
      <c r="K5" s="7">
        <v>0</v>
      </c>
    </row>
    <row r="6" spans="2:11">
      <c r="B6" s="181" t="s">
        <v>367</v>
      </c>
      <c r="C6" s="177">
        <v>1.3150999999999999</v>
      </c>
      <c r="D6" s="7">
        <v>3990</v>
      </c>
      <c r="E6" s="8" t="s">
        <v>16</v>
      </c>
      <c r="F6" s="9" t="s">
        <v>160</v>
      </c>
      <c r="G6" s="8" t="s">
        <v>17</v>
      </c>
      <c r="J6" s="177">
        <v>1.2064999999999999</v>
      </c>
      <c r="K6" s="7">
        <v>3990</v>
      </c>
    </row>
    <row r="7" spans="2:11">
      <c r="B7" s="181"/>
      <c r="C7" s="178"/>
      <c r="D7" s="7">
        <v>7610</v>
      </c>
      <c r="E7" s="8" t="s">
        <v>16</v>
      </c>
      <c r="F7" s="11" t="s">
        <v>161</v>
      </c>
      <c r="G7" s="8" t="s">
        <v>17</v>
      </c>
      <c r="J7" s="178"/>
      <c r="K7" s="7">
        <v>7610</v>
      </c>
    </row>
    <row r="8" spans="2:11">
      <c r="B8" s="181"/>
      <c r="C8" s="179"/>
      <c r="D8" s="7">
        <v>16295</v>
      </c>
      <c r="E8" s="8" t="s">
        <v>16</v>
      </c>
      <c r="F8" s="11" t="s">
        <v>162</v>
      </c>
      <c r="G8" s="8" t="s">
        <v>17</v>
      </c>
      <c r="J8" s="179"/>
      <c r="K8" s="7">
        <v>16295</v>
      </c>
    </row>
    <row r="9" spans="2:11" ht="27.6">
      <c r="B9" s="35" t="s">
        <v>201</v>
      </c>
      <c r="C9" s="30">
        <v>0.91559999999999997</v>
      </c>
      <c r="D9" s="30">
        <v>7610</v>
      </c>
      <c r="E9" s="8" t="s">
        <v>16</v>
      </c>
      <c r="F9" s="9"/>
      <c r="G9" s="8" t="s">
        <v>37</v>
      </c>
      <c r="J9" s="30">
        <v>0.84</v>
      </c>
      <c r="K9" s="7">
        <v>7610</v>
      </c>
    </row>
    <row r="10" spans="2:11" ht="13.5" customHeight="1">
      <c r="B10" s="166" t="s">
        <v>202</v>
      </c>
      <c r="C10" s="177">
        <v>1.1009</v>
      </c>
      <c r="D10" s="30">
        <v>7610</v>
      </c>
      <c r="E10" s="8" t="s">
        <v>16</v>
      </c>
      <c r="F10" s="9" t="s">
        <v>163</v>
      </c>
      <c r="G10" s="8" t="s">
        <v>17</v>
      </c>
      <c r="J10" s="177">
        <v>1.01</v>
      </c>
      <c r="K10" s="7">
        <v>7610</v>
      </c>
    </row>
    <row r="11" spans="2:11">
      <c r="B11" s="166"/>
      <c r="C11" s="179"/>
      <c r="D11" s="7">
        <v>16275</v>
      </c>
      <c r="E11" s="8" t="s">
        <v>16</v>
      </c>
      <c r="F11" s="11" t="s">
        <v>164</v>
      </c>
      <c r="G11" s="8" t="s">
        <v>17</v>
      </c>
      <c r="J11" s="179"/>
      <c r="K11" s="7">
        <v>16275</v>
      </c>
    </row>
    <row r="12" spans="2:11">
      <c r="B12" s="166"/>
      <c r="C12" s="30">
        <v>1.1662999999999999</v>
      </c>
      <c r="D12" s="7"/>
      <c r="E12" s="8" t="s">
        <v>16</v>
      </c>
      <c r="F12" s="11" t="s">
        <v>165</v>
      </c>
      <c r="G12" s="8" t="s">
        <v>17</v>
      </c>
      <c r="J12" s="30">
        <v>1.07</v>
      </c>
      <c r="K12" s="7">
        <v>0</v>
      </c>
    </row>
    <row r="13" spans="2:11" ht="13.5" customHeight="1">
      <c r="B13" s="180" t="s">
        <v>204</v>
      </c>
      <c r="C13" s="177">
        <v>1.3952</v>
      </c>
      <c r="D13" s="7">
        <v>5065</v>
      </c>
      <c r="E13" s="8" t="s">
        <v>16</v>
      </c>
      <c r="F13" s="9" t="s">
        <v>166</v>
      </c>
      <c r="G13" s="8" t="s">
        <v>17</v>
      </c>
      <c r="J13" s="177">
        <v>1.28</v>
      </c>
      <c r="K13" s="7">
        <v>5065</v>
      </c>
    </row>
    <row r="14" spans="2:11">
      <c r="B14" s="180"/>
      <c r="C14" s="178"/>
      <c r="D14" s="7">
        <v>9660</v>
      </c>
      <c r="E14" s="8" t="s">
        <v>16</v>
      </c>
      <c r="F14" s="11" t="s">
        <v>167</v>
      </c>
      <c r="G14" s="8" t="s">
        <v>17</v>
      </c>
      <c r="J14" s="178"/>
      <c r="K14" s="7">
        <v>9660</v>
      </c>
    </row>
    <row r="15" spans="2:11">
      <c r="B15" s="180"/>
      <c r="C15" s="179"/>
      <c r="D15" s="7">
        <v>20680</v>
      </c>
      <c r="E15" s="8" t="s">
        <v>16</v>
      </c>
      <c r="F15" s="11" t="s">
        <v>162</v>
      </c>
      <c r="G15" s="8" t="s">
        <v>17</v>
      </c>
      <c r="J15" s="179"/>
      <c r="K15" s="7">
        <v>20680</v>
      </c>
    </row>
    <row r="16" spans="2:11" ht="27.6">
      <c r="B16" s="48" t="s">
        <v>205</v>
      </c>
      <c r="C16" s="43">
        <v>0.64910000000000001</v>
      </c>
      <c r="D16" s="7">
        <v>0</v>
      </c>
      <c r="E16" s="8" t="s">
        <v>16</v>
      </c>
      <c r="F16" s="11"/>
      <c r="G16" s="8"/>
      <c r="J16" s="99">
        <v>0.59550000000000003</v>
      </c>
      <c r="K16" s="7">
        <v>0</v>
      </c>
    </row>
    <row r="17" spans="2:11">
      <c r="B17" s="161" t="s">
        <v>168</v>
      </c>
      <c r="C17" s="18">
        <f>0.045/8</f>
        <v>5.6249999999999998E-3</v>
      </c>
      <c r="D17" s="18">
        <v>495</v>
      </c>
      <c r="E17" s="8" t="s">
        <v>16</v>
      </c>
      <c r="F17" s="9" t="s">
        <v>163</v>
      </c>
      <c r="G17" s="8" t="s">
        <v>17</v>
      </c>
      <c r="J17" s="18">
        <f>0.045</f>
        <v>4.4999999999999998E-2</v>
      </c>
      <c r="K17" s="18">
        <v>495</v>
      </c>
    </row>
    <row r="18" spans="2:11">
      <c r="B18" s="162"/>
      <c r="C18" s="18">
        <f>0.068/8</f>
        <v>8.5000000000000006E-3</v>
      </c>
      <c r="D18" s="18">
        <v>495</v>
      </c>
      <c r="E18" s="8" t="s">
        <v>16</v>
      </c>
      <c r="F18" s="9" t="s">
        <v>169</v>
      </c>
      <c r="G18" s="8"/>
      <c r="J18" s="18">
        <f>0.068</f>
        <v>6.8000000000000005E-2</v>
      </c>
      <c r="K18" s="18">
        <v>495</v>
      </c>
    </row>
    <row r="19" spans="2:11">
      <c r="B19" s="163"/>
      <c r="C19" s="18">
        <f>0.084/8</f>
        <v>1.0500000000000001E-2</v>
      </c>
      <c r="D19" s="18">
        <v>495</v>
      </c>
      <c r="E19" s="8" t="s">
        <v>16</v>
      </c>
      <c r="F19" s="9" t="s">
        <v>170</v>
      </c>
      <c r="G19" s="8"/>
      <c r="J19" s="18">
        <f>0.084</f>
        <v>8.4000000000000005E-2</v>
      </c>
      <c r="K19" s="18">
        <v>495</v>
      </c>
    </row>
    <row r="20" spans="2:11">
      <c r="B20" s="182" t="s">
        <v>368</v>
      </c>
      <c r="C20" s="18">
        <f>0.058/8</f>
        <v>7.2500000000000004E-3</v>
      </c>
      <c r="D20" s="18">
        <v>630</v>
      </c>
      <c r="E20" s="8" t="s">
        <v>16</v>
      </c>
      <c r="F20" s="9" t="s">
        <v>163</v>
      </c>
      <c r="G20" s="8" t="s">
        <v>17</v>
      </c>
      <c r="J20" s="18">
        <f>0.045</f>
        <v>4.4999999999999998E-2</v>
      </c>
      <c r="K20" s="18">
        <v>495</v>
      </c>
    </row>
    <row r="21" spans="2:11">
      <c r="B21" s="183"/>
      <c r="C21" s="18">
        <f>0.087/8</f>
        <v>1.0874999999999999E-2</v>
      </c>
      <c r="D21" s="18">
        <v>630</v>
      </c>
      <c r="E21" s="8" t="s">
        <v>16</v>
      </c>
      <c r="F21" s="9" t="s">
        <v>169</v>
      </c>
      <c r="G21" s="8"/>
      <c r="J21" s="18">
        <f>0.068</f>
        <v>6.8000000000000005E-2</v>
      </c>
      <c r="K21" s="18">
        <v>495</v>
      </c>
    </row>
    <row r="22" spans="2:11">
      <c r="B22" s="184"/>
      <c r="C22" s="18">
        <f>1.07/8</f>
        <v>0.13375000000000001</v>
      </c>
      <c r="D22" s="18">
        <v>630</v>
      </c>
      <c r="E22" s="8" t="s">
        <v>16</v>
      </c>
      <c r="F22" s="9" t="s">
        <v>170</v>
      </c>
      <c r="G22" s="8"/>
      <c r="J22" s="18">
        <f>0.084</f>
        <v>8.4000000000000005E-2</v>
      </c>
      <c r="K22" s="18">
        <v>495</v>
      </c>
    </row>
    <row r="23" spans="2:11">
      <c r="B23" s="127" t="s">
        <v>159</v>
      </c>
      <c r="C23" s="18">
        <f>0.068/8</f>
        <v>8.5000000000000006E-3</v>
      </c>
      <c r="D23" s="18">
        <v>495</v>
      </c>
      <c r="E23" s="8" t="s">
        <v>16</v>
      </c>
      <c r="F23" s="9"/>
      <c r="G23" s="8" t="s">
        <v>17</v>
      </c>
      <c r="J23" s="18">
        <f>0.068</f>
        <v>6.8000000000000005E-2</v>
      </c>
      <c r="K23" s="18">
        <v>495</v>
      </c>
    </row>
    <row r="24" spans="2:11">
      <c r="B24" s="32" t="s">
        <v>4</v>
      </c>
      <c r="C24" s="18">
        <v>0.1736</v>
      </c>
      <c r="D24" s="18">
        <v>200</v>
      </c>
      <c r="E24" s="8" t="s">
        <v>16</v>
      </c>
      <c r="F24" s="9" t="s">
        <v>154</v>
      </c>
      <c r="G24" s="8"/>
      <c r="J24" s="18">
        <v>0.1736</v>
      </c>
      <c r="K24" s="18">
        <v>200</v>
      </c>
    </row>
    <row r="25" spans="2:11">
      <c r="B25" s="154" t="s">
        <v>50</v>
      </c>
      <c r="C25" s="13">
        <v>400</v>
      </c>
      <c r="D25" s="13">
        <v>0</v>
      </c>
      <c r="E25" s="14" t="s">
        <v>16</v>
      </c>
      <c r="F25" s="15" t="s">
        <v>85</v>
      </c>
      <c r="G25" s="8"/>
      <c r="J25" s="13">
        <v>100</v>
      </c>
      <c r="K25" s="13">
        <v>0</v>
      </c>
    </row>
    <row r="26" spans="2:11">
      <c r="B26" s="156"/>
      <c r="C26" s="13">
        <v>600</v>
      </c>
      <c r="D26" s="13">
        <v>0</v>
      </c>
      <c r="E26" s="14" t="s">
        <v>16</v>
      </c>
      <c r="F26" s="15" t="s">
        <v>86</v>
      </c>
      <c r="G26" s="8"/>
      <c r="J26" s="13">
        <v>150</v>
      </c>
      <c r="K26" s="13">
        <v>0</v>
      </c>
    </row>
    <row r="27" spans="2:11">
      <c r="B27" s="156"/>
      <c r="C27" s="13">
        <v>800</v>
      </c>
      <c r="D27" s="13">
        <v>0</v>
      </c>
      <c r="E27" s="14" t="s">
        <v>16</v>
      </c>
      <c r="F27" s="15" t="s">
        <v>87</v>
      </c>
      <c r="G27" s="8"/>
      <c r="J27" s="13">
        <v>200</v>
      </c>
      <c r="K27" s="13">
        <v>0</v>
      </c>
    </row>
    <row r="28" spans="2:11">
      <c r="B28" s="161" t="s">
        <v>25</v>
      </c>
      <c r="C28" s="18"/>
      <c r="D28" s="18"/>
      <c r="E28" s="8"/>
      <c r="F28" s="11"/>
      <c r="G28" s="8" t="s">
        <v>17</v>
      </c>
      <c r="J28" s="18"/>
      <c r="K28" s="18"/>
    </row>
    <row r="29" spans="2:11">
      <c r="B29" s="163"/>
      <c r="C29" s="18"/>
      <c r="D29" s="18"/>
      <c r="E29" s="8"/>
      <c r="F29" s="11"/>
      <c r="G29" s="8" t="s">
        <v>17</v>
      </c>
      <c r="J29" s="18"/>
      <c r="K29" s="18"/>
    </row>
    <row r="30" spans="2:11">
      <c r="B30" s="34" t="s">
        <v>26</v>
      </c>
      <c r="C30" s="18"/>
      <c r="D30" s="18"/>
      <c r="E30" s="8"/>
      <c r="F30" s="11"/>
      <c r="G30" s="8" t="s">
        <v>17</v>
      </c>
      <c r="J30" s="18"/>
      <c r="K30" s="18"/>
    </row>
    <row r="31" spans="2:11">
      <c r="B31" s="34" t="s">
        <v>28</v>
      </c>
      <c r="C31" s="18"/>
      <c r="D31" s="18"/>
      <c r="E31" s="8"/>
      <c r="F31" s="11"/>
      <c r="G31" s="8" t="s">
        <v>17</v>
      </c>
      <c r="J31" s="18"/>
      <c r="K31" s="18"/>
    </row>
    <row r="32" spans="2:11">
      <c r="B32" s="19" t="s">
        <v>30</v>
      </c>
      <c r="C32" s="18"/>
      <c r="D32" s="18"/>
      <c r="E32" s="8"/>
      <c r="F32" s="9"/>
      <c r="G32" s="8" t="s">
        <v>17</v>
      </c>
      <c r="J32" s="18"/>
      <c r="K32" s="18"/>
    </row>
    <row r="33" spans="2:11">
      <c r="B33" s="19" t="s">
        <v>32</v>
      </c>
      <c r="C33" s="18"/>
      <c r="D33" s="18"/>
      <c r="E33" s="8"/>
      <c r="F33" s="9"/>
      <c r="G33" s="8" t="s">
        <v>17</v>
      </c>
      <c r="J33" s="18"/>
      <c r="K33" s="18"/>
    </row>
    <row r="34" spans="2:11">
      <c r="B34" s="19" t="s">
        <v>34</v>
      </c>
      <c r="C34" s="18"/>
      <c r="D34" s="18"/>
      <c r="E34" s="8"/>
      <c r="F34" s="11"/>
      <c r="G34" s="8" t="s">
        <v>17</v>
      </c>
      <c r="J34" s="18"/>
      <c r="K34" s="18"/>
    </row>
    <row r="35" spans="2:11">
      <c r="B35" s="19" t="s">
        <v>38</v>
      </c>
      <c r="C35" s="18"/>
      <c r="D35" s="18"/>
      <c r="E35" s="8"/>
      <c r="F35" s="9"/>
      <c r="G35" s="8" t="s">
        <v>17</v>
      </c>
      <c r="J35" s="18"/>
      <c r="K35" s="18"/>
    </row>
    <row r="36" spans="2:11">
      <c r="B36" s="19" t="s">
        <v>39</v>
      </c>
      <c r="C36" s="18"/>
      <c r="D36" s="18"/>
      <c r="E36" s="8"/>
      <c r="F36" s="33"/>
      <c r="G36" s="8" t="s">
        <v>17</v>
      </c>
      <c r="J36" s="18"/>
      <c r="K36" s="18"/>
    </row>
    <row r="37" spans="2:11">
      <c r="B37" s="19" t="s">
        <v>42</v>
      </c>
      <c r="C37" s="18"/>
      <c r="D37" s="18"/>
      <c r="E37" s="8"/>
      <c r="F37" s="9"/>
      <c r="G37" s="8" t="s">
        <v>17</v>
      </c>
      <c r="J37" s="18"/>
      <c r="K37" s="18"/>
    </row>
    <row r="38" spans="2:11">
      <c r="B38" s="19" t="s">
        <v>44</v>
      </c>
      <c r="C38" s="18"/>
      <c r="D38" s="18"/>
      <c r="E38" s="8"/>
      <c r="F38" s="9"/>
      <c r="G38" s="8" t="s">
        <v>17</v>
      </c>
      <c r="J38" s="18"/>
      <c r="K38" s="18"/>
    </row>
    <row r="39" spans="2:11">
      <c r="B39" s="19" t="s">
        <v>46</v>
      </c>
      <c r="C39" s="18"/>
      <c r="D39" s="18"/>
      <c r="E39" s="8"/>
      <c r="F39" s="9"/>
      <c r="G39" s="8" t="s">
        <v>17</v>
      </c>
      <c r="J39" s="18"/>
      <c r="K39" s="18"/>
    </row>
    <row r="40" spans="2:11">
      <c r="B40" s="19" t="s">
        <v>47</v>
      </c>
      <c r="C40" s="18"/>
      <c r="D40" s="18"/>
      <c r="E40" s="8"/>
      <c r="F40" s="9"/>
      <c r="G40" s="8" t="s">
        <v>37</v>
      </c>
      <c r="J40" s="18"/>
      <c r="K40" s="18"/>
    </row>
  </sheetData>
  <mergeCells count="15">
    <mergeCell ref="C1:D1"/>
    <mergeCell ref="J1:K1"/>
    <mergeCell ref="J6:J8"/>
    <mergeCell ref="J10:J11"/>
    <mergeCell ref="J13:J15"/>
    <mergeCell ref="B25:B27"/>
    <mergeCell ref="B28:B29"/>
    <mergeCell ref="C6:C8"/>
    <mergeCell ref="C10:C11"/>
    <mergeCell ref="B13:B15"/>
    <mergeCell ref="C13:C15"/>
    <mergeCell ref="B17:B19"/>
    <mergeCell ref="B6:B8"/>
    <mergeCell ref="B10:B12"/>
    <mergeCell ref="B20:B22"/>
  </mergeCells>
  <conditionalFormatting sqref="G24 G28:G40 G17:G19 G3:G12">
    <cfRule type="containsText" dxfId="44" priority="16" operator="containsText" text="Verified">
      <formula>NOT(ISERROR(SEARCH("Verified",G3)))</formula>
    </cfRule>
    <cfRule type="containsText" dxfId="43" priority="17" operator="containsText" text="Verified">
      <formula>NOT(ISERROR(SEARCH("Verified",G3)))</formula>
    </cfRule>
    <cfRule type="containsText" dxfId="42" priority="18" operator="containsText" text="Verified">
      <formula>NOT(ISERROR(SEARCH("Verified",G3)))</formula>
    </cfRule>
  </conditionalFormatting>
  <conditionalFormatting sqref="G23">
    <cfRule type="containsText" dxfId="41" priority="13" operator="containsText" text="Verified">
      <formula>NOT(ISERROR(SEARCH("Verified",G23)))</formula>
    </cfRule>
    <cfRule type="containsText" dxfId="40" priority="14" operator="containsText" text="Verified">
      <formula>NOT(ISERROR(SEARCH("Verified",G23)))</formula>
    </cfRule>
    <cfRule type="containsText" dxfId="39" priority="15" operator="containsText" text="Verified">
      <formula>NOT(ISERROR(SEARCH("Verified",G23)))</formula>
    </cfRule>
  </conditionalFormatting>
  <conditionalFormatting sqref="G25:G27">
    <cfRule type="containsText" dxfId="38" priority="10" operator="containsText" text="Verified">
      <formula>NOT(ISERROR(SEARCH("Verified",G25)))</formula>
    </cfRule>
    <cfRule type="containsText" dxfId="37" priority="11" operator="containsText" text="Verified">
      <formula>NOT(ISERROR(SEARCH("Verified",G25)))</formula>
    </cfRule>
    <cfRule type="containsText" dxfId="36" priority="12" operator="containsText" text="Verified">
      <formula>NOT(ISERROR(SEARCH("Verified",G25)))</formula>
    </cfRule>
  </conditionalFormatting>
  <conditionalFormatting sqref="G13:G16">
    <cfRule type="containsText" dxfId="35" priority="7" operator="containsText" text="Verified">
      <formula>NOT(ISERROR(SEARCH("Verified",G13)))</formula>
    </cfRule>
    <cfRule type="containsText" dxfId="34" priority="8" operator="containsText" text="Verified">
      <formula>NOT(ISERROR(SEARCH("Verified",G13)))</formula>
    </cfRule>
    <cfRule type="containsText" dxfId="33" priority="9" operator="containsText" text="Verified">
      <formula>NOT(ISERROR(SEARCH("Verified",G13)))</formula>
    </cfRule>
  </conditionalFormatting>
  <conditionalFormatting sqref="G20:G22">
    <cfRule type="containsText" dxfId="32" priority="1" operator="containsText" text="Verified">
      <formula>NOT(ISERROR(SEARCH("Verified",G20)))</formula>
    </cfRule>
    <cfRule type="containsText" dxfId="31" priority="2" operator="containsText" text="Verified">
      <formula>NOT(ISERROR(SEARCH("Verified",G20)))</formula>
    </cfRule>
    <cfRule type="containsText" dxfId="30" priority="3" operator="containsText" text="Verified">
      <formula>NOT(ISERROR(SEARCH("Verified",G20)))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6F61-A506-45BA-A9AB-8CF7FBAFB062}">
  <sheetPr>
    <tabColor rgb="FFFFFF00"/>
  </sheetPr>
  <dimension ref="B1:K28"/>
  <sheetViews>
    <sheetView showGridLines="0" zoomScale="90" zoomScaleNormal="90" workbookViewId="0">
      <pane ySplit="1" topLeftCell="A2" activePane="bottomLeft" state="frozen"/>
      <selection activeCell="O36" sqref="O36"/>
      <selection pane="bottomLeft" activeCell="O36" sqref="O36"/>
    </sheetView>
  </sheetViews>
  <sheetFormatPr defaultColWidth="9.109375" defaultRowHeight="13.8"/>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109375" style="4" bestFit="1" customWidth="1"/>
    <col min="7" max="7" width="8.33203125" style="4" bestFit="1" customWidth="1"/>
    <col min="8" max="9" width="9.109375" style="4"/>
    <col min="10" max="10" width="14.6640625" style="4" bestFit="1" customWidth="1"/>
    <col min="11" max="11" width="10.5546875" style="4" bestFit="1" customWidth="1"/>
    <col min="12" max="16384" width="9.109375" style="4"/>
  </cols>
  <sheetData>
    <row r="1" spans="2:11">
      <c r="B1" s="3" t="s">
        <v>105</v>
      </c>
      <c r="C1" s="4" t="s">
        <v>336</v>
      </c>
      <c r="J1" s="4" t="s">
        <v>335</v>
      </c>
    </row>
    <row r="2" spans="2:11">
      <c r="B2" s="17" t="s">
        <v>1</v>
      </c>
      <c r="C2" s="17" t="s">
        <v>10</v>
      </c>
      <c r="D2" s="17" t="s">
        <v>11</v>
      </c>
      <c r="E2" s="17" t="s">
        <v>12</v>
      </c>
      <c r="F2" s="17" t="s">
        <v>13</v>
      </c>
      <c r="G2" s="17" t="s">
        <v>14</v>
      </c>
      <c r="J2" s="17" t="s">
        <v>10</v>
      </c>
      <c r="K2" s="17" t="s">
        <v>11</v>
      </c>
    </row>
    <row r="3" spans="2:11">
      <c r="B3" s="170" t="s">
        <v>173</v>
      </c>
      <c r="C3" s="7">
        <v>0.13700000000000001</v>
      </c>
      <c r="D3" s="7">
        <v>700</v>
      </c>
      <c r="E3" s="8" t="s">
        <v>16</v>
      </c>
      <c r="F3" s="9" t="s">
        <v>171</v>
      </c>
      <c r="G3" s="8" t="s">
        <v>17</v>
      </c>
      <c r="J3" s="7">
        <v>0.13700000000000001</v>
      </c>
      <c r="K3" s="7">
        <v>700</v>
      </c>
    </row>
    <row r="4" spans="2:11">
      <c r="B4" s="172"/>
      <c r="C4" s="7">
        <v>0.154</v>
      </c>
      <c r="D4" s="7">
        <v>700</v>
      </c>
      <c r="E4" s="8" t="s">
        <v>16</v>
      </c>
      <c r="F4" s="9" t="s">
        <v>172</v>
      </c>
      <c r="G4" s="8"/>
      <c r="J4" s="7">
        <v>0.154</v>
      </c>
      <c r="K4" s="7">
        <v>700</v>
      </c>
    </row>
    <row r="5" spans="2:11">
      <c r="B5" s="38" t="s">
        <v>174</v>
      </c>
      <c r="C5" s="30">
        <v>1.3440000000000001</v>
      </c>
      <c r="D5" s="7">
        <v>3500</v>
      </c>
      <c r="E5" s="8" t="s">
        <v>16</v>
      </c>
      <c r="F5" s="9" t="s">
        <v>176</v>
      </c>
      <c r="G5" s="8" t="s">
        <v>17</v>
      </c>
      <c r="J5" s="30">
        <v>1.2330000000000001</v>
      </c>
      <c r="K5" s="7">
        <v>3500</v>
      </c>
    </row>
    <row r="6" spans="2:11">
      <c r="B6" s="38" t="s">
        <v>175</v>
      </c>
      <c r="C6" s="30">
        <v>1.5109999999999999</v>
      </c>
      <c r="D6" s="7">
        <v>7278</v>
      </c>
      <c r="E6" s="8" t="s">
        <v>16</v>
      </c>
      <c r="F6" s="11" t="s">
        <v>177</v>
      </c>
      <c r="G6" s="8" t="s">
        <v>17</v>
      </c>
      <c r="J6" s="30">
        <v>1.3859999999999999</v>
      </c>
      <c r="K6" s="7">
        <v>7278</v>
      </c>
    </row>
    <row r="7" spans="2:11">
      <c r="B7" s="38"/>
      <c r="C7" s="30"/>
      <c r="D7" s="7">
        <v>13125</v>
      </c>
      <c r="E7" s="8" t="s">
        <v>16</v>
      </c>
      <c r="F7" s="11" t="s">
        <v>178</v>
      </c>
      <c r="G7" s="8" t="s">
        <v>17</v>
      </c>
      <c r="J7" s="30"/>
      <c r="K7" s="7">
        <v>13125</v>
      </c>
    </row>
    <row r="8" spans="2:11">
      <c r="B8" s="35"/>
      <c r="C8" s="30"/>
      <c r="D8" s="7">
        <v>15750</v>
      </c>
      <c r="E8" s="8" t="s">
        <v>16</v>
      </c>
      <c r="F8" s="9" t="s">
        <v>179</v>
      </c>
      <c r="G8" s="8" t="s">
        <v>37</v>
      </c>
      <c r="J8" s="30"/>
      <c r="K8" s="7">
        <v>15750</v>
      </c>
    </row>
    <row r="9" spans="2:11">
      <c r="B9" s="32" t="s">
        <v>180</v>
      </c>
      <c r="C9" s="7">
        <v>1.2E-2</v>
      </c>
      <c r="D9" s="18">
        <v>900</v>
      </c>
      <c r="E9" s="8" t="s">
        <v>16</v>
      </c>
      <c r="F9" s="9"/>
      <c r="G9" s="8" t="s">
        <v>17</v>
      </c>
      <c r="J9" s="7">
        <v>1.2E-2</v>
      </c>
      <c r="K9" s="18">
        <v>900</v>
      </c>
    </row>
    <row r="10" spans="2:11">
      <c r="B10" s="32" t="s">
        <v>181</v>
      </c>
      <c r="C10" s="7">
        <v>1.2999999999999999E-2</v>
      </c>
      <c r="D10" s="18">
        <v>900</v>
      </c>
      <c r="E10" s="8" t="s">
        <v>16</v>
      </c>
      <c r="F10" s="9"/>
      <c r="G10" s="8" t="s">
        <v>17</v>
      </c>
      <c r="J10" s="7">
        <v>1.2999999999999999E-2</v>
      </c>
      <c r="K10" s="18">
        <v>900</v>
      </c>
    </row>
    <row r="11" spans="2:11">
      <c r="B11" s="32" t="s">
        <v>4</v>
      </c>
      <c r="C11" s="7">
        <v>0.03</v>
      </c>
      <c r="D11" s="18">
        <v>200</v>
      </c>
      <c r="E11" s="8" t="s">
        <v>16</v>
      </c>
      <c r="F11" s="9"/>
      <c r="G11" s="8" t="s">
        <v>17</v>
      </c>
      <c r="J11" s="7">
        <v>0.03</v>
      </c>
      <c r="K11" s="18">
        <v>200</v>
      </c>
    </row>
    <row r="12" spans="2:11">
      <c r="B12" s="154" t="s">
        <v>50</v>
      </c>
      <c r="C12" s="13">
        <v>315</v>
      </c>
      <c r="D12" s="13">
        <v>0</v>
      </c>
      <c r="E12" s="14" t="s">
        <v>16</v>
      </c>
      <c r="F12" s="15" t="s">
        <v>85</v>
      </c>
      <c r="G12" s="8" t="s">
        <v>17</v>
      </c>
      <c r="J12" s="13">
        <v>100</v>
      </c>
      <c r="K12" s="13">
        <v>0</v>
      </c>
    </row>
    <row r="13" spans="2:11">
      <c r="B13" s="156"/>
      <c r="C13" s="13">
        <v>475</v>
      </c>
      <c r="D13" s="13">
        <v>0</v>
      </c>
      <c r="E13" s="14" t="s">
        <v>16</v>
      </c>
      <c r="F13" s="15" t="s">
        <v>86</v>
      </c>
      <c r="G13" s="8" t="s">
        <v>17</v>
      </c>
      <c r="J13" s="13">
        <v>150</v>
      </c>
      <c r="K13" s="13">
        <v>0</v>
      </c>
    </row>
    <row r="14" spans="2:11">
      <c r="B14" s="156"/>
      <c r="C14" s="13">
        <v>630</v>
      </c>
      <c r="D14" s="13">
        <v>0</v>
      </c>
      <c r="E14" s="14" t="s">
        <v>16</v>
      </c>
      <c r="F14" s="15" t="s">
        <v>87</v>
      </c>
      <c r="G14" s="8" t="s">
        <v>17</v>
      </c>
      <c r="J14" s="13">
        <v>200</v>
      </c>
      <c r="K14" s="13">
        <v>0</v>
      </c>
    </row>
    <row r="15" spans="2:11">
      <c r="B15" s="50" t="s">
        <v>210</v>
      </c>
      <c r="C15" s="13">
        <v>5</v>
      </c>
      <c r="D15" s="13">
        <v>0</v>
      </c>
      <c r="E15" s="14" t="s">
        <v>40</v>
      </c>
      <c r="F15" s="15"/>
      <c r="G15" s="8"/>
      <c r="J15" s="13">
        <v>5</v>
      </c>
      <c r="K15" s="13">
        <v>0</v>
      </c>
    </row>
    <row r="16" spans="2:11">
      <c r="B16" s="161" t="s">
        <v>25</v>
      </c>
      <c r="C16" s="7">
        <v>1E-3</v>
      </c>
      <c r="D16" s="18"/>
      <c r="E16" s="8"/>
      <c r="F16" s="11"/>
      <c r="G16" s="8"/>
      <c r="J16" s="7">
        <v>1E-3</v>
      </c>
      <c r="K16" s="18"/>
    </row>
    <row r="17" spans="2:11">
      <c r="B17" s="163"/>
      <c r="C17" s="7"/>
      <c r="D17" s="18"/>
      <c r="E17" s="8"/>
      <c r="F17" s="11"/>
      <c r="G17" s="8"/>
      <c r="J17" s="18"/>
      <c r="K17" s="18"/>
    </row>
    <row r="18" spans="2:11">
      <c r="B18" s="34" t="s">
        <v>26</v>
      </c>
      <c r="C18" s="18"/>
      <c r="D18" s="18"/>
      <c r="E18" s="8"/>
      <c r="F18" s="11"/>
      <c r="G18" s="8"/>
      <c r="J18" s="18"/>
      <c r="K18" s="18"/>
    </row>
    <row r="19" spans="2:11">
      <c r="B19" s="34" t="s">
        <v>28</v>
      </c>
      <c r="C19" s="18"/>
      <c r="D19" s="18"/>
      <c r="E19" s="8"/>
      <c r="F19" s="11"/>
      <c r="G19" s="8"/>
      <c r="J19" s="18"/>
      <c r="K19" s="18"/>
    </row>
    <row r="20" spans="2:11">
      <c r="B20" s="19" t="s">
        <v>30</v>
      </c>
      <c r="C20" s="18"/>
      <c r="D20" s="18"/>
      <c r="E20" s="8"/>
      <c r="F20" s="9"/>
      <c r="G20" s="8"/>
      <c r="J20" s="18"/>
      <c r="K20" s="18"/>
    </row>
    <row r="21" spans="2:11">
      <c r="B21" s="19" t="s">
        <v>32</v>
      </c>
      <c r="C21" s="18"/>
      <c r="D21" s="18"/>
      <c r="E21" s="8"/>
      <c r="F21" s="9"/>
      <c r="G21" s="8"/>
      <c r="J21" s="18"/>
      <c r="K21" s="18"/>
    </row>
    <row r="22" spans="2:11">
      <c r="B22" s="19" t="s">
        <v>34</v>
      </c>
      <c r="C22" s="18"/>
      <c r="D22" s="18"/>
      <c r="E22" s="8"/>
      <c r="F22" s="11"/>
      <c r="G22" s="8"/>
      <c r="J22" s="18"/>
      <c r="K22" s="18"/>
    </row>
    <row r="23" spans="2:11">
      <c r="B23" s="19" t="s">
        <v>38</v>
      </c>
      <c r="C23" s="18"/>
      <c r="D23" s="18"/>
      <c r="E23" s="8"/>
      <c r="F23" s="9"/>
      <c r="G23" s="8"/>
      <c r="J23" s="18"/>
      <c r="K23" s="18"/>
    </row>
    <row r="24" spans="2:11">
      <c r="B24" s="19" t="s">
        <v>39</v>
      </c>
      <c r="C24" s="18"/>
      <c r="D24" s="18"/>
      <c r="E24" s="8"/>
      <c r="F24" s="33"/>
      <c r="G24" s="8"/>
      <c r="J24" s="18"/>
      <c r="K24" s="18"/>
    </row>
    <row r="25" spans="2:11">
      <c r="B25" s="19" t="s">
        <v>42</v>
      </c>
      <c r="C25" s="18"/>
      <c r="D25" s="18"/>
      <c r="E25" s="8"/>
      <c r="F25" s="9"/>
      <c r="G25" s="8"/>
      <c r="J25" s="18"/>
      <c r="K25" s="18"/>
    </row>
    <row r="26" spans="2:11">
      <c r="B26" s="19" t="s">
        <v>44</v>
      </c>
      <c r="C26" s="18"/>
      <c r="D26" s="18"/>
      <c r="E26" s="8"/>
      <c r="F26" s="9"/>
      <c r="G26" s="8"/>
      <c r="J26" s="18"/>
      <c r="K26" s="18"/>
    </row>
    <row r="27" spans="2:11">
      <c r="B27" s="19" t="s">
        <v>46</v>
      </c>
      <c r="C27" s="18"/>
      <c r="D27" s="18"/>
      <c r="E27" s="8"/>
      <c r="F27" s="9"/>
      <c r="G27" s="8"/>
      <c r="J27" s="18"/>
      <c r="K27" s="18"/>
    </row>
    <row r="28" spans="2:11">
      <c r="B28" s="19" t="s">
        <v>47</v>
      </c>
      <c r="C28" s="18"/>
      <c r="D28" s="18"/>
      <c r="E28" s="8"/>
      <c r="F28" s="9"/>
      <c r="G28" s="8" t="s">
        <v>37</v>
      </c>
      <c r="J28" s="18"/>
      <c r="K28" s="18"/>
    </row>
  </sheetData>
  <mergeCells count="3">
    <mergeCell ref="B16:B17"/>
    <mergeCell ref="B3:B4"/>
    <mergeCell ref="B12:B14"/>
  </mergeCells>
  <conditionalFormatting sqref="G11 G16:G28 G3:G8">
    <cfRule type="containsText" dxfId="29" priority="13" operator="containsText" text="Verified">
      <formula>NOT(ISERROR(SEARCH("Verified",G3)))</formula>
    </cfRule>
    <cfRule type="containsText" dxfId="28" priority="14" operator="containsText" text="Verified">
      <formula>NOT(ISERROR(SEARCH("Verified",G3)))</formula>
    </cfRule>
    <cfRule type="containsText" dxfId="27" priority="15" operator="containsText" text="Verified">
      <formula>NOT(ISERROR(SEARCH("Verified",G3)))</formula>
    </cfRule>
  </conditionalFormatting>
  <conditionalFormatting sqref="G9:G10">
    <cfRule type="containsText" dxfId="26" priority="10" operator="containsText" text="Verified">
      <formula>NOT(ISERROR(SEARCH("Verified",G9)))</formula>
    </cfRule>
    <cfRule type="containsText" dxfId="25" priority="11" operator="containsText" text="Verified">
      <formula>NOT(ISERROR(SEARCH("Verified",G9)))</formula>
    </cfRule>
    <cfRule type="containsText" dxfId="24" priority="12" operator="containsText" text="Verified">
      <formula>NOT(ISERROR(SEARCH("Verified",G9)))</formula>
    </cfRule>
  </conditionalFormatting>
  <conditionalFormatting sqref="G12:G15">
    <cfRule type="containsText" dxfId="23" priority="1" operator="containsText" text="Verified">
      <formula>NOT(ISERROR(SEARCH("Verified",G12)))</formula>
    </cfRule>
    <cfRule type="containsText" dxfId="22" priority="2" operator="containsText" text="Verified">
      <formula>NOT(ISERROR(SEARCH("Verified",G12)))</formula>
    </cfRule>
    <cfRule type="containsText" dxfId="21" priority="3" operator="containsText" text="Verified">
      <formula>NOT(ISERROR(SEARCH("Verified",G12)))</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205B8-3DAF-422A-9D76-6E17782AF644}">
  <sheetPr>
    <tabColor rgb="FFFFFF00"/>
  </sheetPr>
  <dimension ref="B1:V24"/>
  <sheetViews>
    <sheetView showGridLines="0" zoomScale="110" zoomScaleNormal="110" workbookViewId="0">
      <pane ySplit="1" topLeftCell="A2" activePane="bottomLeft" state="frozen"/>
      <selection activeCell="O36" sqref="O36"/>
      <selection pane="bottomLeft" activeCell="O36" sqref="O36"/>
    </sheetView>
  </sheetViews>
  <sheetFormatPr defaultColWidth="9.109375" defaultRowHeight="14.4"/>
  <cols>
    <col min="1" max="1" width="3.21875" style="4" customWidth="1"/>
    <col min="2" max="2" width="40.5546875" style="4" bestFit="1" customWidth="1"/>
    <col min="3" max="3" width="14.6640625" style="4" bestFit="1" customWidth="1"/>
    <col min="4" max="4" width="10.5546875" style="4" bestFit="1" customWidth="1"/>
    <col min="5" max="5" width="12.5546875" style="4" bestFit="1" customWidth="1"/>
    <col min="6" max="6" width="35.33203125" style="4" customWidth="1"/>
    <col min="7" max="7" width="13" style="4" customWidth="1"/>
    <col min="10" max="10" width="4.6640625" customWidth="1"/>
    <col min="11" max="11" width="10.5546875" bestFit="1" customWidth="1"/>
    <col min="12" max="12" width="10" bestFit="1" customWidth="1"/>
    <col min="23" max="16384" width="9.109375" style="4"/>
  </cols>
  <sheetData>
    <row r="1" spans="2:7">
      <c r="B1" s="3"/>
      <c r="C1" s="4" t="s">
        <v>336</v>
      </c>
    </row>
    <row r="2" spans="2:7">
      <c r="B2" s="17" t="s">
        <v>1</v>
      </c>
      <c r="C2" s="17" t="s">
        <v>10</v>
      </c>
      <c r="D2" s="17" t="s">
        <v>11</v>
      </c>
      <c r="E2" s="17" t="s">
        <v>12</v>
      </c>
      <c r="F2" s="17" t="s">
        <v>13</v>
      </c>
      <c r="G2" s="17" t="s">
        <v>14</v>
      </c>
    </row>
    <row r="3" spans="2:7">
      <c r="B3" s="32" t="s">
        <v>173</v>
      </c>
      <c r="C3" s="30">
        <v>0.49</v>
      </c>
      <c r="D3" s="7">
        <v>0</v>
      </c>
      <c r="E3" s="8" t="s">
        <v>16</v>
      </c>
      <c r="F3" s="9" t="s">
        <v>171</v>
      </c>
      <c r="G3" s="8"/>
    </row>
    <row r="4" spans="2:7">
      <c r="B4" s="166" t="s">
        <v>379</v>
      </c>
      <c r="C4" s="177">
        <v>0.6976</v>
      </c>
      <c r="D4" s="7">
        <v>2100</v>
      </c>
      <c r="E4" s="168" t="s">
        <v>16</v>
      </c>
      <c r="F4" s="9" t="s">
        <v>19</v>
      </c>
      <c r="G4" s="8"/>
    </row>
    <row r="5" spans="2:7">
      <c r="B5" s="166"/>
      <c r="C5" s="179"/>
      <c r="D5" s="7">
        <v>7000</v>
      </c>
      <c r="E5" s="186"/>
      <c r="F5" s="11" t="s">
        <v>20</v>
      </c>
      <c r="G5" s="14">
        <v>15000</v>
      </c>
    </row>
    <row r="6" spans="2:7">
      <c r="B6" s="141" t="s">
        <v>378</v>
      </c>
      <c r="C6" s="30">
        <v>1.1880999999999999</v>
      </c>
      <c r="D6" s="7">
        <v>18000</v>
      </c>
      <c r="E6" s="186"/>
      <c r="F6" s="11" t="s">
        <v>22</v>
      </c>
      <c r="G6" s="14">
        <v>15000</v>
      </c>
    </row>
    <row r="7" spans="2:7">
      <c r="B7" s="144" t="s">
        <v>380</v>
      </c>
      <c r="C7" s="30">
        <v>1.5990000000000001E-2</v>
      </c>
      <c r="D7" s="142">
        <v>400</v>
      </c>
      <c r="E7" s="143" t="s">
        <v>16</v>
      </c>
      <c r="F7" s="11" t="s">
        <v>375</v>
      </c>
      <c r="G7" s="8"/>
    </row>
    <row r="8" spans="2:7">
      <c r="B8" s="32" t="s">
        <v>4</v>
      </c>
      <c r="C8" s="30">
        <v>3.4720000000000001E-2</v>
      </c>
      <c r="D8" s="7">
        <v>200</v>
      </c>
      <c r="E8" s="8" t="s">
        <v>16</v>
      </c>
      <c r="F8" s="11" t="s">
        <v>376</v>
      </c>
      <c r="G8" s="8"/>
    </row>
    <row r="9" spans="2:7">
      <c r="B9" s="173" t="s">
        <v>50</v>
      </c>
      <c r="C9" s="52">
        <v>400</v>
      </c>
      <c r="D9" s="187">
        <v>0</v>
      </c>
      <c r="E9" s="190" t="s">
        <v>16</v>
      </c>
      <c r="F9" s="55" t="s">
        <v>377</v>
      </c>
      <c r="G9" s="8"/>
    </row>
    <row r="10" spans="2:7">
      <c r="B10" s="174"/>
      <c r="C10" s="52">
        <v>600</v>
      </c>
      <c r="D10" s="188"/>
      <c r="E10" s="191"/>
      <c r="F10" s="55" t="s">
        <v>86</v>
      </c>
      <c r="G10" s="8"/>
    </row>
    <row r="11" spans="2:7">
      <c r="B11" s="193"/>
      <c r="C11" s="52">
        <v>800</v>
      </c>
      <c r="D11" s="189"/>
      <c r="E11" s="192"/>
      <c r="F11" s="55" t="s">
        <v>87</v>
      </c>
      <c r="G11" s="8"/>
    </row>
    <row r="12" spans="2:7" customFormat="1"/>
    <row r="13" spans="2:7" customFormat="1">
      <c r="F13" s="83"/>
    </row>
    <row r="14" spans="2:7" customFormat="1">
      <c r="F14" s="45"/>
    </row>
    <row r="15" spans="2:7" customFormat="1"/>
    <row r="16" spans="2:7" customFormat="1"/>
    <row r="17" spans="5:7" customFormat="1">
      <c r="E17" s="45"/>
      <c r="F17" s="45"/>
      <c r="G17" s="49"/>
    </row>
    <row r="18" spans="5:7" customFormat="1"/>
    <row r="19" spans="5:7" customFormat="1"/>
    <row r="20" spans="5:7" customFormat="1"/>
    <row r="21" spans="5:7" customFormat="1"/>
    <row r="22" spans="5:7" customFormat="1"/>
    <row r="23" spans="5:7" customFormat="1"/>
    <row r="24" spans="5:7" customFormat="1"/>
  </sheetData>
  <mergeCells count="6">
    <mergeCell ref="E4:E6"/>
    <mergeCell ref="D9:D11"/>
    <mergeCell ref="E9:E11"/>
    <mergeCell ref="B9:B11"/>
    <mergeCell ref="B4:B5"/>
    <mergeCell ref="C4:C5"/>
  </mergeCells>
  <conditionalFormatting sqref="G3:G9">
    <cfRule type="containsText" dxfId="20" priority="16" operator="containsText" text="Verified">
      <formula>NOT(ISERROR(SEARCH("Verified",G3)))</formula>
    </cfRule>
    <cfRule type="containsText" dxfId="19" priority="17" operator="containsText" text="Verified">
      <formula>NOT(ISERROR(SEARCH("Verified",G3)))</formula>
    </cfRule>
    <cfRule type="containsText" dxfId="18" priority="18" operator="containsText" text="Verified">
      <formula>NOT(ISERROR(SEARCH("Verified",G3)))</formula>
    </cfRule>
  </conditionalFormatting>
  <conditionalFormatting sqref="G10:G11">
    <cfRule type="containsText" dxfId="17" priority="10" operator="containsText" text="Verified">
      <formula>NOT(ISERROR(SEARCH("Verified",G10)))</formula>
    </cfRule>
    <cfRule type="containsText" dxfId="16" priority="11" operator="containsText" text="Verified">
      <formula>NOT(ISERROR(SEARCH("Verified",G10)))</formula>
    </cfRule>
    <cfRule type="containsText" dxfId="15" priority="12" operator="containsText" text="Verified">
      <formula>NOT(ISERROR(SEARCH("Verified",G10)))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206C-105A-4676-8154-CDA3C7E5366A}">
  <sheetPr>
    <tabColor rgb="FF002060"/>
  </sheetPr>
  <dimension ref="A1:AP28"/>
  <sheetViews>
    <sheetView showGridLines="0" showRowColHeaders="0" tabSelected="1" zoomScaleNormal="100" workbookViewId="0">
      <pane xSplit="16" ySplit="27" topLeftCell="Q28" activePane="bottomRight" state="frozen"/>
      <selection pane="topRight" activeCell="Q1" sqref="Q1"/>
      <selection pane="bottomLeft" activeCell="A28" sqref="A28"/>
      <selection pane="bottomRight" activeCell="G6" sqref="G6"/>
    </sheetView>
  </sheetViews>
  <sheetFormatPr defaultRowHeight="14.4"/>
  <cols>
    <col min="1" max="1" width="16.6640625" customWidth="1"/>
    <col min="2" max="2" width="5.88671875" customWidth="1"/>
    <col min="3" max="3" width="9.6640625" customWidth="1"/>
    <col min="4" max="4" width="5.21875" customWidth="1"/>
    <col min="5" max="5" width="13.44140625" bestFit="1" customWidth="1"/>
    <col min="6" max="6" width="19.6640625" customWidth="1"/>
    <col min="7" max="7" width="15.33203125" bestFit="1" customWidth="1"/>
    <col min="8" max="8" width="6.88671875" customWidth="1"/>
    <col min="9" max="9" width="4.109375" customWidth="1"/>
    <col min="10" max="10" width="36.21875" customWidth="1"/>
    <col min="11" max="11" width="25.44140625" customWidth="1"/>
    <col min="12" max="12" width="4.109375" customWidth="1"/>
    <col min="13" max="13" width="2.44140625" customWidth="1"/>
    <col min="14" max="14" width="19.33203125" bestFit="1" customWidth="1"/>
    <col min="15" max="15" width="19" customWidth="1"/>
    <col min="16" max="16" width="36.21875" customWidth="1"/>
    <col min="17" max="17" width="13" customWidth="1"/>
    <col min="18" max="18" width="1.5546875" customWidth="1"/>
    <col min="19" max="19" width="1.44140625" customWidth="1"/>
    <col min="20" max="20" width="57.88671875" hidden="1" customWidth="1"/>
    <col min="21" max="21" width="20.33203125" hidden="1" customWidth="1"/>
    <col min="22" max="22" width="19" hidden="1" customWidth="1"/>
    <col min="23" max="23" width="17.33203125" hidden="1" customWidth="1"/>
    <col min="24" max="24" width="19" hidden="1" customWidth="1"/>
    <col min="25" max="25" width="6.77734375" hidden="1" customWidth="1"/>
    <col min="26" max="26" width="10.109375" hidden="1" customWidth="1"/>
    <col min="27" max="27" width="13.44140625" hidden="1" customWidth="1"/>
    <col min="28" max="28" width="12.6640625" hidden="1" customWidth="1"/>
    <col min="29" max="29" width="10" hidden="1" customWidth="1"/>
    <col min="30" max="30" width="8.21875" hidden="1" customWidth="1"/>
    <col min="31" max="31" width="12.33203125" hidden="1" customWidth="1"/>
    <col min="32" max="32" width="11.77734375" hidden="1" customWidth="1"/>
    <col min="33" max="33" width="8.5546875" hidden="1" customWidth="1"/>
    <col min="34" max="34" width="13.88671875" hidden="1" customWidth="1"/>
    <col min="35" max="35" width="2.6640625" hidden="1" customWidth="1"/>
    <col min="36" max="36" width="13.88671875" hidden="1" customWidth="1"/>
    <col min="37" max="37" width="2.109375" hidden="1" customWidth="1"/>
    <col min="38" max="38" width="13.88671875" hidden="1" customWidth="1"/>
    <col min="39" max="39" width="8.88671875" hidden="1" customWidth="1"/>
    <col min="40" max="40" width="13.88671875" hidden="1" customWidth="1"/>
    <col min="41" max="42" width="8.88671875" hidden="1" customWidth="1"/>
    <col min="43" max="46" width="8.88671875" customWidth="1"/>
  </cols>
  <sheetData>
    <row r="1" spans="1:40">
      <c r="D1" s="44"/>
      <c r="E1" s="44"/>
      <c r="F1" s="44"/>
      <c r="G1" s="44"/>
      <c r="H1" s="44"/>
      <c r="I1" s="44"/>
      <c r="J1" s="44"/>
      <c r="K1" s="44"/>
      <c r="L1" s="44"/>
      <c r="M1" s="44"/>
      <c r="N1" s="44"/>
      <c r="O1" s="44"/>
      <c r="P1" s="44"/>
      <c r="R1" s="104"/>
    </row>
    <row r="2" spans="1:40" ht="19.2" customHeight="1">
      <c r="D2" s="44"/>
      <c r="E2" s="44"/>
      <c r="F2" s="44"/>
      <c r="G2" s="44"/>
      <c r="H2" s="44"/>
      <c r="I2" s="44"/>
      <c r="J2" s="44"/>
      <c r="K2" s="44"/>
      <c r="L2" s="44"/>
      <c r="M2" s="44"/>
      <c r="N2" s="44"/>
      <c r="O2" s="44"/>
      <c r="P2" s="44"/>
      <c r="R2" s="104"/>
    </row>
    <row r="3" spans="1:40" ht="28.8" customHeight="1">
      <c r="D3" s="44"/>
      <c r="E3" s="44"/>
      <c r="F3" s="44"/>
      <c r="G3" s="44"/>
      <c r="H3" s="44"/>
      <c r="I3" s="44"/>
      <c r="J3" s="44"/>
      <c r="K3" s="44"/>
      <c r="L3" s="44"/>
      <c r="M3" s="44"/>
      <c r="N3" s="44"/>
      <c r="O3" s="44"/>
      <c r="P3" s="44"/>
      <c r="R3" s="104"/>
      <c r="T3" s="103" t="s">
        <v>327</v>
      </c>
      <c r="U3" s="103" t="s">
        <v>84</v>
      </c>
      <c r="V3" s="103" t="s">
        <v>75</v>
      </c>
      <c r="W3" s="103" t="s">
        <v>104</v>
      </c>
      <c r="X3" s="103" t="s">
        <v>6</v>
      </c>
      <c r="Y3" s="103" t="s">
        <v>193</v>
      </c>
      <c r="Z3" s="103" t="s">
        <v>191</v>
      </c>
      <c r="AA3" s="103" t="s">
        <v>342</v>
      </c>
      <c r="AB3" s="103" t="s">
        <v>136</v>
      </c>
      <c r="AC3" s="103" t="s">
        <v>344</v>
      </c>
      <c r="AD3" s="103" t="s">
        <v>12</v>
      </c>
      <c r="AE3" s="103" t="s">
        <v>195</v>
      </c>
      <c r="AF3" s="103" t="s">
        <v>137</v>
      </c>
      <c r="AH3" s="1" t="s">
        <v>5</v>
      </c>
      <c r="AJ3" s="1" t="s">
        <v>5</v>
      </c>
      <c r="AL3" s="1" t="s">
        <v>5</v>
      </c>
      <c r="AN3" s="1" t="s">
        <v>5</v>
      </c>
    </row>
    <row r="4" spans="1:40" ht="43.8" customHeight="1">
      <c r="D4" s="42"/>
      <c r="E4" s="42"/>
      <c r="F4" s="42"/>
      <c r="G4" s="42"/>
      <c r="H4" s="114"/>
      <c r="I4" s="114"/>
      <c r="J4" s="114"/>
      <c r="K4" s="114"/>
      <c r="L4" s="114"/>
      <c r="M4" s="114"/>
      <c r="N4" s="114"/>
      <c r="O4" s="114"/>
      <c r="P4" s="114"/>
      <c r="R4" s="104"/>
      <c r="T4" s="65" t="str">
        <f>U4&amp;V4&amp;W4&amp;X4</f>
        <v>KARAIKALDRY BULKFOREIGNPort Dues</v>
      </c>
      <c r="U4" s="65" t="str">
        <f t="shared" ref="U4:U9" si="0">$AH$4</f>
        <v>KARAIKAL</v>
      </c>
      <c r="V4" s="65" t="str">
        <f t="shared" ref="V4:V9" si="1">$AJ$4</f>
        <v>DRY BULK</v>
      </c>
      <c r="W4" s="65" t="str">
        <f t="shared" ref="W4:W9" si="2">$AL$4</f>
        <v>FOREIGN</v>
      </c>
      <c r="X4" s="65" t="s">
        <v>0</v>
      </c>
      <c r="Y4" s="39">
        <f>$G$6</f>
        <v>80000</v>
      </c>
      <c r="Z4" s="39">
        <f>VLOOKUP(T4,'Tariff Master'!G:J,2,0)</f>
        <v>0.49</v>
      </c>
      <c r="AA4" s="39">
        <v>1</v>
      </c>
      <c r="AB4" s="101">
        <f t="shared" ref="AB4:AB9" si="3">Y4*Z4*AA4</f>
        <v>39200</v>
      </c>
      <c r="AC4" s="101">
        <f>VLOOKUP(T4,'Tariff Master'!G:J,3,0)</f>
        <v>0</v>
      </c>
      <c r="AD4" s="39" t="str">
        <f>VLOOKUP(T4,'Tariff Master'!G:J,4,0)</f>
        <v>USD</v>
      </c>
      <c r="AE4" s="39">
        <f>'Vessel Dues Calculator'!$G$8</f>
        <v>83</v>
      </c>
      <c r="AF4" s="102">
        <f t="shared" ref="AF4:AF9" si="4">MAX(AB4,AC4)*IF(AD4="USD",AE4,1)</f>
        <v>3253600</v>
      </c>
      <c r="AH4" s="2" t="s">
        <v>354</v>
      </c>
      <c r="AJ4" s="2" t="s">
        <v>355</v>
      </c>
      <c r="AL4" s="2" t="s">
        <v>103</v>
      </c>
      <c r="AN4" s="2" t="s">
        <v>40</v>
      </c>
    </row>
    <row r="5" spans="1:40">
      <c r="D5" s="113"/>
      <c r="E5" s="113"/>
      <c r="F5" s="113"/>
      <c r="G5" s="113"/>
      <c r="H5" s="113"/>
      <c r="I5" s="105"/>
      <c r="J5" s="120"/>
      <c r="K5" s="120"/>
      <c r="L5" s="120"/>
      <c r="M5" s="121"/>
      <c r="N5" s="130"/>
      <c r="O5" s="114"/>
      <c r="P5" s="114"/>
      <c r="R5" s="104"/>
      <c r="T5" s="65" t="str">
        <f t="shared" ref="T5:T9" si="5">U5&amp;V5&amp;W5&amp;X5</f>
        <v>KARAIKALDRY BULKFOREIGNPilotage</v>
      </c>
      <c r="U5" s="65" t="str">
        <f t="shared" si="0"/>
        <v>KARAIKAL</v>
      </c>
      <c r="V5" s="65" t="str">
        <f t="shared" si="1"/>
        <v>DRY BULK</v>
      </c>
      <c r="W5" s="65" t="str">
        <f t="shared" si="2"/>
        <v>FOREIGN</v>
      </c>
      <c r="X5" s="65" t="s">
        <v>3</v>
      </c>
      <c r="Y5" s="39">
        <f>$G$6</f>
        <v>80000</v>
      </c>
      <c r="Z5" s="39">
        <f>VLOOKUP(T5,'Tariff Master'!G:J,2,0)</f>
        <v>1.1880999999999999</v>
      </c>
      <c r="AA5" s="39">
        <v>1</v>
      </c>
      <c r="AB5" s="101">
        <f t="shared" si="3"/>
        <v>95048</v>
      </c>
      <c r="AC5" s="101">
        <f>VLOOKUP(T5,'Tariff Master'!G:J,3,0)</f>
        <v>18000</v>
      </c>
      <c r="AD5" s="39" t="str">
        <f>VLOOKUP(T5,'Tariff Master'!G:J,4,0)</f>
        <v>USD</v>
      </c>
      <c r="AE5" s="39">
        <f>'Vessel Dues Calculator'!$G$8</f>
        <v>83</v>
      </c>
      <c r="AF5" s="102">
        <f t="shared" si="4"/>
        <v>7888984</v>
      </c>
      <c r="AH5" s="2" t="s">
        <v>185</v>
      </c>
      <c r="AJ5" s="2" t="s">
        <v>185</v>
      </c>
      <c r="AL5" s="2" t="s">
        <v>185</v>
      </c>
      <c r="AN5" s="2" t="s">
        <v>185</v>
      </c>
    </row>
    <row r="6" spans="1:40" ht="30" customHeight="1">
      <c r="D6" s="113"/>
      <c r="E6" s="112" t="s">
        <v>101</v>
      </c>
      <c r="F6" s="112"/>
      <c r="G6" s="136">
        <v>80000</v>
      </c>
      <c r="H6" s="113"/>
      <c r="I6" s="106"/>
      <c r="J6" s="108" t="s">
        <v>0</v>
      </c>
      <c r="K6" s="110">
        <f>IFERROR(IF($AN$4="INR",'Vessel Dues Calculator'!AF4,AB4),0)</f>
        <v>3253600</v>
      </c>
      <c r="L6" s="110"/>
      <c r="M6" s="121"/>
      <c r="N6" s="131"/>
      <c r="O6" s="114"/>
      <c r="P6" s="114"/>
      <c r="R6" s="104"/>
      <c r="T6" s="65" t="str">
        <f t="shared" si="5"/>
        <v>KARAIKALDRY BULKFOREIGNBerth Hire</v>
      </c>
      <c r="U6" s="65" t="str">
        <f t="shared" si="0"/>
        <v>KARAIKAL</v>
      </c>
      <c r="V6" s="65" t="str">
        <f t="shared" si="1"/>
        <v>DRY BULK</v>
      </c>
      <c r="W6" s="65" t="str">
        <f t="shared" si="2"/>
        <v>FOREIGN</v>
      </c>
      <c r="X6" s="65" t="s">
        <v>7</v>
      </c>
      <c r="Y6" s="39">
        <f>$G$6</f>
        <v>80000</v>
      </c>
      <c r="Z6" s="39">
        <f>VLOOKUP(T6,'Tariff Master'!G:J,2,0)</f>
        <v>1.5990000000000001E-2</v>
      </c>
      <c r="AA6" s="39">
        <f>'Vessel Dues Calculator'!G7</f>
        <v>23</v>
      </c>
      <c r="AB6" s="101">
        <f t="shared" si="3"/>
        <v>29421.600000000002</v>
      </c>
      <c r="AC6" s="101">
        <f>VLOOKUP(T6,'Tariff Master'!G:J,3,0)</f>
        <v>400</v>
      </c>
      <c r="AD6" s="39" t="str">
        <f>VLOOKUP(T6,'Tariff Master'!G:J,4,0)</f>
        <v>USD</v>
      </c>
      <c r="AE6" s="39">
        <f>'Vessel Dues Calculator'!$G$8</f>
        <v>83</v>
      </c>
      <c r="AF6" s="102">
        <f t="shared" si="4"/>
        <v>2441992.8000000003</v>
      </c>
    </row>
    <row r="7" spans="1:40" ht="30" customHeight="1">
      <c r="D7" s="113"/>
      <c r="E7" s="112" t="s">
        <v>346</v>
      </c>
      <c r="F7" s="112"/>
      <c r="G7" s="137">
        <v>23</v>
      </c>
      <c r="H7" s="113"/>
      <c r="I7" s="106"/>
      <c r="J7" s="108" t="s">
        <v>3</v>
      </c>
      <c r="K7" s="110">
        <f>IFERROR(IF($AN$4="INR",'Vessel Dues Calculator'!AF5,AB5),0)</f>
        <v>7888984</v>
      </c>
      <c r="L7" s="110"/>
      <c r="M7" s="121"/>
      <c r="N7" s="131"/>
      <c r="O7" s="114"/>
      <c r="P7" s="114"/>
      <c r="R7" s="104"/>
      <c r="T7" s="65" t="str">
        <f t="shared" si="5"/>
        <v>KARAIKALDRY BULKFOREIGNMooring</v>
      </c>
      <c r="U7" s="65" t="str">
        <f t="shared" si="0"/>
        <v>KARAIKAL</v>
      </c>
      <c r="V7" s="65" t="str">
        <f t="shared" si="1"/>
        <v>DRY BULK</v>
      </c>
      <c r="W7" s="65" t="str">
        <f t="shared" si="2"/>
        <v>FOREIGN</v>
      </c>
      <c r="X7" s="65" t="s">
        <v>4</v>
      </c>
      <c r="Y7" s="39">
        <f>$G$6</f>
        <v>80000</v>
      </c>
      <c r="Z7" s="39">
        <f>VLOOKUP(T7,'Tariff Master'!G:J,2,0)</f>
        <v>3.4720000000000001E-2</v>
      </c>
      <c r="AA7" s="39">
        <v>1</v>
      </c>
      <c r="AB7" s="101">
        <f t="shared" si="3"/>
        <v>2777.6</v>
      </c>
      <c r="AC7" s="101">
        <f>VLOOKUP(T7,'Tariff Master'!G:J,3,0)</f>
        <v>200</v>
      </c>
      <c r="AD7" s="39" t="str">
        <f>VLOOKUP(T7,'Tariff Master'!G:J,4,0)</f>
        <v>USD</v>
      </c>
      <c r="AE7" s="39">
        <f>'Vessel Dues Calculator'!$G$8</f>
        <v>83</v>
      </c>
      <c r="AF7" s="102">
        <f t="shared" si="4"/>
        <v>230540.79999999999</v>
      </c>
    </row>
    <row r="8" spans="1:40" ht="30" customHeight="1">
      <c r="D8" s="113"/>
      <c r="E8" s="112" t="s">
        <v>347</v>
      </c>
      <c r="F8" s="112"/>
      <c r="G8" s="139">
        <v>83</v>
      </c>
      <c r="H8" s="113"/>
      <c r="I8" s="106"/>
      <c r="J8" s="108" t="s">
        <v>7</v>
      </c>
      <c r="K8" s="110">
        <f>IFERROR(IF($AN$4="INR",'Vessel Dues Calculator'!AF6,AB6),0)</f>
        <v>2441992.8000000003</v>
      </c>
      <c r="L8" s="110"/>
      <c r="M8" s="121"/>
      <c r="N8" s="131"/>
      <c r="O8" s="114"/>
      <c r="P8" s="114"/>
      <c r="R8" s="104"/>
      <c r="T8" s="65" t="str">
        <f t="shared" si="5"/>
        <v>KARAIKALDRY BULKFOREIGNPESP &amp; Dredging</v>
      </c>
      <c r="U8" s="65" t="str">
        <f t="shared" si="0"/>
        <v>KARAIKAL</v>
      </c>
      <c r="V8" s="65" t="str">
        <f t="shared" si="1"/>
        <v>DRY BULK</v>
      </c>
      <c r="W8" s="65" t="str">
        <f t="shared" si="2"/>
        <v>FOREIGN</v>
      </c>
      <c r="X8" s="65" t="s">
        <v>343</v>
      </c>
      <c r="Y8" s="39">
        <f>IF(U8="KRISHNAPTNM",G10,IF(U8="DAHEJ",G6,1))</f>
        <v>1</v>
      </c>
      <c r="Z8" s="39">
        <f>VLOOKUP(T8,'Tariff Master'!G:J,2,0)</f>
        <v>800</v>
      </c>
      <c r="AA8" s="39">
        <v>1</v>
      </c>
      <c r="AB8" s="101">
        <f t="shared" si="3"/>
        <v>800</v>
      </c>
      <c r="AC8" s="101">
        <f>VLOOKUP(T8,'Tariff Master'!G:J,3,0)</f>
        <v>0</v>
      </c>
      <c r="AD8" s="39" t="str">
        <f>VLOOKUP(T8,'Tariff Master'!G:J,4,0)</f>
        <v>USD</v>
      </c>
      <c r="AE8" s="39">
        <f>'Vessel Dues Calculator'!$G$8</f>
        <v>83</v>
      </c>
      <c r="AF8" s="102">
        <f>MAX(AB8,AC8)*IF(AD8="USD",AE8,1)</f>
        <v>66400</v>
      </c>
    </row>
    <row r="9" spans="1:40" ht="30" customHeight="1">
      <c r="D9" s="113"/>
      <c r="E9" s="132"/>
      <c r="F9" s="42"/>
      <c r="G9" s="124"/>
      <c r="H9" s="113"/>
      <c r="I9" s="106"/>
      <c r="J9" s="108" t="s">
        <v>4</v>
      </c>
      <c r="K9" s="110">
        <f>IFERROR(IF($AN$4="INR",'Vessel Dues Calculator'!AF7,AB7),0)</f>
        <v>230540.79999999999</v>
      </c>
      <c r="L9" s="110"/>
      <c r="M9" s="121"/>
      <c r="N9" s="131"/>
      <c r="O9" s="114"/>
      <c r="P9" s="114"/>
      <c r="R9" s="104"/>
      <c r="T9" s="65" t="str">
        <f t="shared" si="5"/>
        <v>KARAIKALDRY BULKFOREIGNSustainability</v>
      </c>
      <c r="U9" s="65" t="str">
        <f t="shared" si="0"/>
        <v>KARAIKAL</v>
      </c>
      <c r="V9" s="65" t="str">
        <f t="shared" si="1"/>
        <v>DRY BULK</v>
      </c>
      <c r="W9" s="65" t="str">
        <f t="shared" si="2"/>
        <v>FOREIGN</v>
      </c>
      <c r="X9" s="122" t="s">
        <v>351</v>
      </c>
      <c r="Y9" s="39">
        <f>IF(U9="gangavaram",$G$10,$G$6)</f>
        <v>80000</v>
      </c>
      <c r="Z9" s="39" t="e">
        <f>VLOOKUP(T9,'Tariff Master'!G:J,2,0)</f>
        <v>#N/A</v>
      </c>
      <c r="AA9" s="39">
        <v>1</v>
      </c>
      <c r="AB9" s="101" t="e">
        <f t="shared" si="3"/>
        <v>#N/A</v>
      </c>
      <c r="AC9" s="101" t="e">
        <f>VLOOKUP(T9,'Tariff Master'!G:J,3,0)</f>
        <v>#N/A</v>
      </c>
      <c r="AD9" s="39" t="e">
        <f>VLOOKUP(T9,'Tariff Master'!G:J,4,0)</f>
        <v>#N/A</v>
      </c>
      <c r="AE9" s="39">
        <f>'Vessel Dues Calculator'!$G$8</f>
        <v>83</v>
      </c>
      <c r="AF9" s="102" t="e">
        <f t="shared" si="4"/>
        <v>#N/A</v>
      </c>
    </row>
    <row r="10" spans="1:40" ht="30" customHeight="1">
      <c r="D10" s="113"/>
      <c r="E10" s="112" t="s">
        <v>350</v>
      </c>
      <c r="F10" s="112"/>
      <c r="G10" s="136">
        <v>40000</v>
      </c>
      <c r="H10" s="113"/>
      <c r="I10" s="106"/>
      <c r="J10" s="108" t="s">
        <v>343</v>
      </c>
      <c r="K10" s="110">
        <f>IFERROR(IF($AN$4="INR",'Vessel Dues Calculator'!AF8,AB8),0)</f>
        <v>66400</v>
      </c>
      <c r="L10" s="110"/>
      <c r="M10" s="121"/>
      <c r="N10" s="131"/>
      <c r="O10" s="114"/>
      <c r="P10" s="114"/>
      <c r="R10" s="104"/>
    </row>
    <row r="11" spans="1:40" ht="30" customHeight="1">
      <c r="D11" s="113"/>
      <c r="E11" s="112"/>
      <c r="F11" s="112"/>
      <c r="G11" s="138"/>
      <c r="H11" s="113"/>
      <c r="I11" s="106"/>
      <c r="J11" s="108" t="s">
        <v>351</v>
      </c>
      <c r="K11" s="110">
        <f>IFERROR(IF($AN$4="INR",'Vessel Dues Calculator'!AF9,AB9),0)</f>
        <v>0</v>
      </c>
      <c r="L11" s="110"/>
      <c r="M11" s="121"/>
      <c r="N11" s="131"/>
      <c r="O11" s="114"/>
      <c r="P11" s="114"/>
      <c r="R11" s="104"/>
    </row>
    <row r="12" spans="1:40" ht="22.2">
      <c r="D12" s="113"/>
      <c r="E12" s="112"/>
      <c r="F12" s="112"/>
      <c r="G12" s="138"/>
      <c r="H12" s="113"/>
      <c r="I12" s="106"/>
      <c r="J12" s="108"/>
      <c r="K12" s="110"/>
      <c r="L12" s="111"/>
      <c r="M12" s="121"/>
      <c r="N12" s="130"/>
      <c r="O12" s="114"/>
      <c r="P12" s="114"/>
      <c r="R12" s="104"/>
    </row>
    <row r="13" spans="1:40" ht="45" customHeight="1">
      <c r="D13" s="113"/>
      <c r="E13" s="132"/>
      <c r="F13" s="132"/>
      <c r="G13" s="132"/>
      <c r="H13" s="116"/>
      <c r="I13" s="107"/>
      <c r="J13" s="109" t="s">
        <v>345</v>
      </c>
      <c r="K13" s="133">
        <f>SUM(K6:K12)</f>
        <v>13881517.600000001</v>
      </c>
      <c r="L13" s="133"/>
      <c r="M13" s="107"/>
      <c r="N13" s="114"/>
      <c r="O13" s="114"/>
      <c r="P13" s="114"/>
      <c r="R13" s="104"/>
    </row>
    <row r="14" spans="1:40" ht="22.2">
      <c r="D14" s="113"/>
      <c r="E14" s="42"/>
      <c r="F14" s="42"/>
      <c r="G14" s="42"/>
      <c r="H14" s="113"/>
      <c r="I14" s="108"/>
      <c r="J14" s="117" t="s">
        <v>348</v>
      </c>
      <c r="K14" s="118">
        <f>K13/G6</f>
        <v>173.51897000000002</v>
      </c>
      <c r="L14" s="108"/>
      <c r="M14" s="108"/>
      <c r="N14" s="114"/>
      <c r="O14" s="114"/>
      <c r="P14" s="114"/>
      <c r="R14" s="104"/>
    </row>
    <row r="15" spans="1:40" ht="22.2">
      <c r="A15" s="51" t="s">
        <v>209</v>
      </c>
      <c r="D15" s="113"/>
      <c r="E15" s="42"/>
      <c r="F15" s="42"/>
      <c r="G15" s="42"/>
      <c r="H15" s="113"/>
      <c r="I15" s="108"/>
      <c r="J15" s="117" t="s">
        <v>349</v>
      </c>
      <c r="K15" s="118">
        <f>IFERROR(K13/G10,0)</f>
        <v>347.03794000000005</v>
      </c>
      <c r="L15" s="108"/>
      <c r="M15" s="108"/>
      <c r="N15" s="114"/>
      <c r="O15" s="114"/>
      <c r="P15" s="114"/>
      <c r="R15" s="104"/>
    </row>
    <row r="16" spans="1:40">
      <c r="A16" s="51" t="s">
        <v>374</v>
      </c>
      <c r="D16" s="113"/>
      <c r="E16" s="113"/>
      <c r="F16" s="113"/>
      <c r="G16" s="113"/>
      <c r="H16" s="113"/>
      <c r="I16" s="42"/>
      <c r="J16" s="114"/>
      <c r="K16" s="114"/>
      <c r="L16" s="114"/>
      <c r="M16" s="114"/>
      <c r="N16" s="114"/>
      <c r="O16" s="114"/>
      <c r="P16" s="114"/>
      <c r="R16" s="104"/>
    </row>
    <row r="17" spans="4:18">
      <c r="D17" s="113"/>
      <c r="E17" s="113"/>
      <c r="F17" s="113"/>
      <c r="G17" s="113"/>
      <c r="H17" s="113"/>
      <c r="I17" s="42"/>
      <c r="J17" s="114"/>
      <c r="K17" s="114"/>
      <c r="L17" s="114"/>
      <c r="M17" s="114"/>
      <c r="N17" s="114"/>
      <c r="O17" s="114"/>
      <c r="P17" s="114"/>
      <c r="R17" s="104"/>
    </row>
    <row r="18" spans="4:18">
      <c r="D18" s="113"/>
      <c r="E18" s="113"/>
      <c r="F18" s="113"/>
      <c r="G18" s="113"/>
      <c r="H18" s="113"/>
      <c r="I18" s="42"/>
      <c r="J18" s="114"/>
      <c r="K18" s="114"/>
      <c r="L18" s="114"/>
      <c r="M18" s="114"/>
      <c r="N18" s="114"/>
      <c r="O18" s="114"/>
      <c r="P18" s="114"/>
      <c r="R18" s="104"/>
    </row>
    <row r="19" spans="4:18">
      <c r="D19" s="113"/>
      <c r="E19" s="113"/>
      <c r="F19" s="113"/>
      <c r="G19" s="113"/>
      <c r="H19" s="113"/>
      <c r="I19" s="114"/>
      <c r="J19" s="114"/>
      <c r="K19" s="114"/>
      <c r="L19" s="114"/>
      <c r="M19" s="114"/>
      <c r="N19" s="114"/>
      <c r="O19" s="114"/>
      <c r="P19" s="114"/>
      <c r="R19" s="104"/>
    </row>
    <row r="20" spans="4:18">
      <c r="D20" s="113"/>
      <c r="E20" s="113"/>
      <c r="F20" s="113"/>
      <c r="G20" s="113"/>
      <c r="H20" s="113"/>
      <c r="I20" s="114"/>
      <c r="J20" s="114"/>
      <c r="K20" s="114"/>
      <c r="L20" s="114"/>
      <c r="M20" s="114"/>
      <c r="N20" s="114"/>
      <c r="O20" s="114"/>
      <c r="P20" s="114"/>
      <c r="R20" s="104"/>
    </row>
    <row r="21" spans="4:18">
      <c r="D21" s="113"/>
      <c r="E21" s="113"/>
      <c r="F21" s="113"/>
      <c r="G21" s="113"/>
      <c r="H21" s="113"/>
      <c r="I21" s="114"/>
      <c r="J21" s="114"/>
      <c r="K21" s="114"/>
      <c r="L21" s="114"/>
      <c r="M21" s="114"/>
      <c r="N21" s="114"/>
      <c r="O21" s="114"/>
      <c r="P21" s="114"/>
      <c r="R21" s="104"/>
    </row>
    <row r="22" spans="4:18">
      <c r="D22" s="113"/>
      <c r="E22" s="113"/>
      <c r="F22" s="113"/>
      <c r="G22" s="113"/>
      <c r="H22" s="113"/>
      <c r="I22" s="114"/>
      <c r="J22" s="114"/>
      <c r="K22" s="114"/>
      <c r="L22" s="114"/>
      <c r="M22" s="114"/>
      <c r="N22" s="114"/>
      <c r="O22" s="114"/>
      <c r="P22" s="114"/>
      <c r="R22" s="104"/>
    </row>
    <row r="23" spans="4:18">
      <c r="D23" s="113"/>
      <c r="E23" s="113"/>
      <c r="F23" s="113"/>
      <c r="G23" s="113"/>
      <c r="H23" s="113"/>
      <c r="I23" s="114"/>
      <c r="J23" s="114"/>
      <c r="K23" s="114"/>
      <c r="L23" s="114"/>
      <c r="M23" s="114"/>
      <c r="N23" s="114"/>
      <c r="O23" s="114"/>
      <c r="P23" s="114"/>
      <c r="R23" s="104"/>
    </row>
    <row r="24" spans="4:18">
      <c r="D24" s="113"/>
      <c r="E24" s="113"/>
      <c r="F24" s="113"/>
      <c r="G24" s="113"/>
      <c r="H24" s="113"/>
      <c r="I24" s="114"/>
      <c r="J24" s="114"/>
      <c r="K24" s="114"/>
      <c r="L24" s="114"/>
      <c r="M24" s="114"/>
      <c r="N24" s="114"/>
      <c r="O24" s="114"/>
      <c r="P24" s="114"/>
      <c r="R24" s="104"/>
    </row>
    <row r="25" spans="4:18">
      <c r="D25" s="113"/>
      <c r="E25" s="113"/>
      <c r="F25" s="113"/>
      <c r="G25" s="113"/>
      <c r="H25" s="113"/>
      <c r="I25" s="114"/>
      <c r="J25" s="114"/>
      <c r="K25" s="114"/>
      <c r="L25" s="114"/>
      <c r="M25" s="114"/>
      <c r="N25" s="114"/>
      <c r="O25" s="114"/>
      <c r="P25" s="114"/>
      <c r="R25" s="104"/>
    </row>
    <row r="26" spans="4:18">
      <c r="D26" s="113"/>
      <c r="E26" s="113"/>
      <c r="F26" s="113"/>
      <c r="G26" s="113"/>
      <c r="H26" s="113"/>
      <c r="I26" s="114"/>
      <c r="J26" s="114"/>
      <c r="K26" s="114"/>
      <c r="L26" s="114"/>
      <c r="M26" s="114"/>
      <c r="N26" s="114"/>
      <c r="O26" s="114"/>
      <c r="P26" s="114"/>
      <c r="R26" s="104"/>
    </row>
    <row r="27" spans="4:18">
      <c r="D27" s="113"/>
      <c r="E27" s="113"/>
      <c r="F27" s="113"/>
      <c r="G27" s="113"/>
      <c r="H27" s="113"/>
      <c r="I27" s="114"/>
      <c r="J27" s="114"/>
      <c r="K27" s="114"/>
      <c r="L27" s="114"/>
      <c r="M27" s="114"/>
      <c r="N27" s="114"/>
      <c r="O27" s="114"/>
      <c r="P27" s="114"/>
      <c r="R27" s="104"/>
    </row>
    <row r="28" spans="4:18">
      <c r="D28" s="113"/>
      <c r="E28" s="113"/>
      <c r="F28" s="113"/>
      <c r="G28" s="113"/>
      <c r="H28" s="113"/>
      <c r="I28" s="114"/>
      <c r="J28" s="114"/>
      <c r="K28" s="114"/>
      <c r="L28" s="114"/>
      <c r="M28" s="114"/>
      <c r="N28" s="114"/>
      <c r="O28" s="114"/>
      <c r="P28" s="114"/>
      <c r="Q28" s="41"/>
      <c r="R28" s="104"/>
    </row>
  </sheetData>
  <sheetProtection algorithmName="SHA-512" hashValue="GZrhoXnq51JFr1QPNpwsQdgqsL9f/gTnkbPDSCSL8NyGaPQ5vUtbCZbUGlGytL84d0RJPvyh/KfPOVirNXfEFA==" saltValue="BkimyALJUaAt75YkYL9oVQ==" spinCount="100000" sheet="1" selectLockedCells="1" pivotTables="0"/>
  <conditionalFormatting sqref="K6:K11 K13">
    <cfRule type="expression" dxfId="14" priority="2">
      <formula>$AN$4="USD"</formula>
    </cfRule>
  </conditionalFormatting>
  <conditionalFormatting sqref="K14:K15">
    <cfRule type="expression" dxfId="13" priority="1">
      <formula>$AN$4="USD"</formula>
    </cfRule>
  </conditionalFormatting>
  <pageMargins left="0.7" right="0.7" top="0.75" bottom="0.75" header="0.3" footer="0.3"/>
  <pageSetup orientation="portrait" r:id="rId5"/>
  <drawing r:id="rId6"/>
  <extLst>
    <ext xmlns:x14="http://schemas.microsoft.com/office/spreadsheetml/2009/9/main" uri="{A8765BA9-456A-4dab-B4F3-ACF838C121DE}">
      <x14:slicerList>
        <x14:slicer r:id="rId7"/>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7CBA-0E2A-44A4-929E-3DFBDD85D3F4}">
  <sheetPr>
    <tabColor rgb="FF002060"/>
  </sheetPr>
  <dimension ref="B1:N194"/>
  <sheetViews>
    <sheetView zoomScale="120" zoomScaleNormal="120" workbookViewId="0">
      <pane ySplit="5" topLeftCell="A6" activePane="bottomLeft" state="frozen"/>
      <selection activeCell="O36" sqref="O36"/>
      <selection pane="bottomLeft" activeCell="O36" sqref="O36"/>
    </sheetView>
  </sheetViews>
  <sheetFormatPr defaultRowHeight="14.4"/>
  <cols>
    <col min="1" max="1" width="6.109375" customWidth="1"/>
    <col min="2" max="2" width="11" bestFit="1" customWidth="1"/>
    <col min="3" max="3" width="17.6640625" bestFit="1" customWidth="1"/>
    <col min="4" max="4" width="15.5546875" bestFit="1" customWidth="1"/>
    <col min="5" max="5" width="14.109375" bestFit="1" customWidth="1"/>
    <col min="6" max="6" width="15.5546875" bestFit="1" customWidth="1"/>
    <col min="7" max="7" width="44.33203125" bestFit="1" customWidth="1"/>
    <col min="8" max="8" width="10" bestFit="1" customWidth="1"/>
    <col min="9" max="9" width="14.44140625" bestFit="1" customWidth="1"/>
    <col min="10" max="10" width="15" bestFit="1" customWidth="1"/>
    <col min="11" max="11" width="13.44140625" bestFit="1" customWidth="1"/>
    <col min="12" max="12" width="2.44140625" customWidth="1"/>
    <col min="13" max="14" width="13.44140625" bestFit="1" customWidth="1"/>
    <col min="15" max="15" width="11.21875" bestFit="1" customWidth="1"/>
    <col min="16" max="16" width="13" customWidth="1"/>
    <col min="17" max="17" width="1.5546875" customWidth="1"/>
    <col min="18" max="18" width="7.88671875" bestFit="1" customWidth="1"/>
    <col min="19" max="19" width="40.21875" bestFit="1" customWidth="1"/>
    <col min="20" max="20" width="7.5546875" bestFit="1" customWidth="1"/>
    <col min="21" max="21" width="11.88671875" bestFit="1" customWidth="1"/>
    <col min="22" max="22" width="11.5546875" bestFit="1" customWidth="1"/>
    <col min="23" max="23" width="15.5546875" bestFit="1" customWidth="1"/>
    <col min="24" max="24" width="6.6640625" bestFit="1" customWidth="1"/>
    <col min="25" max="25" width="7.77734375" bestFit="1" customWidth="1"/>
    <col min="26" max="26" width="10" bestFit="1" customWidth="1"/>
    <col min="27" max="27" width="10.88671875" bestFit="1" customWidth="1"/>
    <col min="28" max="28" width="9.77734375" bestFit="1" customWidth="1"/>
    <col min="29" max="29" width="6" bestFit="1" customWidth="1"/>
    <col min="30" max="30" width="8.109375" bestFit="1" customWidth="1"/>
    <col min="31" max="31" width="10.88671875" bestFit="1" customWidth="1"/>
    <col min="32" max="32" width="8.5546875" bestFit="1" customWidth="1"/>
    <col min="33" max="33" width="11.88671875" bestFit="1" customWidth="1"/>
    <col min="34" max="34" width="12.109375" bestFit="1" customWidth="1"/>
  </cols>
  <sheetData>
    <row r="1" spans="2:14">
      <c r="N1" t="s">
        <v>12</v>
      </c>
    </row>
    <row r="2" spans="2:14" ht="22.2">
      <c r="G2" s="119" t="s">
        <v>101</v>
      </c>
      <c r="H2" s="119"/>
      <c r="I2" s="112"/>
      <c r="J2" s="115">
        <f>'Vessel Dues Calculator'!$G$6</f>
        <v>80000</v>
      </c>
      <c r="N2" t="s">
        <v>40</v>
      </c>
    </row>
    <row r="3" spans="2:14">
      <c r="N3" t="s">
        <v>16</v>
      </c>
    </row>
    <row r="5" spans="2:14">
      <c r="B5" t="s">
        <v>182</v>
      </c>
      <c r="C5" t="s">
        <v>84</v>
      </c>
      <c r="D5" t="s">
        <v>75</v>
      </c>
      <c r="E5" t="s">
        <v>104</v>
      </c>
      <c r="F5" t="s">
        <v>6</v>
      </c>
      <c r="G5" t="s">
        <v>327</v>
      </c>
      <c r="H5" t="s">
        <v>2</v>
      </c>
      <c r="I5" t="s">
        <v>8</v>
      </c>
      <c r="J5" t="s">
        <v>194</v>
      </c>
    </row>
    <row r="6" spans="2:14">
      <c r="B6" t="s">
        <v>183</v>
      </c>
      <c r="C6" t="s">
        <v>74</v>
      </c>
      <c r="D6" t="s">
        <v>355</v>
      </c>
      <c r="E6" t="s">
        <v>103</v>
      </c>
      <c r="F6" t="s">
        <v>0</v>
      </c>
      <c r="G6" t="str">
        <f>Table137[[#This Row],[PORT]]&amp;Table137[[#This Row],[VESSEL TYPE]]&amp;Table137[[#This Row],[VESSEL RUN]]&amp;Table137[[#This Row],[SERVICE]]</f>
        <v>MUNDRADRY BULKFOREIGNPort Dues</v>
      </c>
      <c r="H6">
        <f>Mundra!$C$3</f>
        <v>6.5016000000000004E-2</v>
      </c>
      <c r="I6">
        <f>Mundra!$D$3</f>
        <v>330</v>
      </c>
      <c r="J6" t="str">
        <f>Mundra!$E$3</f>
        <v>USD</v>
      </c>
    </row>
    <row r="7" spans="2:14">
      <c r="B7" t="s">
        <v>183</v>
      </c>
      <c r="C7" t="s">
        <v>74</v>
      </c>
      <c r="D7" t="s">
        <v>355</v>
      </c>
      <c r="E7" t="s">
        <v>103</v>
      </c>
      <c r="F7" t="s">
        <v>3</v>
      </c>
      <c r="G7" t="str">
        <f>Table137[[#This Row],[PORT]]&amp;Table137[[#This Row],[VESSEL TYPE]]&amp;Table137[[#This Row],[VESSEL RUN]]&amp;Table137[[#This Row],[SERVICE]]</f>
        <v>MUNDRADRY BULKFOREIGNPilotage</v>
      </c>
      <c r="H7">
        <f>IF($J$2&lt;=10000,Mundra!$C$4,Mundra!$C$6)</f>
        <v>0.96704599999999996</v>
      </c>
      <c r="I7">
        <f>IF($J$2&lt;=3000,Mundra!$D$4,IF($J$2&lt;=9999,Mundra!$D$5,IF($J$2&lt;=15000,Mundra!$D$5,IF($J$2&lt;=19999,Mundra!$D$6,IF($J$2&lt;=39999,Mundra!$D$6,Mundra!$D$6)))))</f>
        <v>15370</v>
      </c>
      <c r="J7" t="s">
        <v>16</v>
      </c>
    </row>
    <row r="8" spans="2:14">
      <c r="B8" t="s">
        <v>183</v>
      </c>
      <c r="C8" t="s">
        <v>74</v>
      </c>
      <c r="D8" t="s">
        <v>355</v>
      </c>
      <c r="E8" t="s">
        <v>103</v>
      </c>
      <c r="F8" t="s">
        <v>7</v>
      </c>
      <c r="G8" t="str">
        <f>Table137[[#This Row],[PORT]]&amp;Table137[[#This Row],[VESSEL TYPE]]&amp;Table137[[#This Row],[VESSEL RUN]]&amp;Table137[[#This Row],[SERVICE]]</f>
        <v>MUNDRADRY BULKFOREIGNBerth Hire</v>
      </c>
      <c r="H8">
        <f>Mundra!$C$7</f>
        <v>9.8209999999999999E-3</v>
      </c>
      <c r="I8">
        <f>Mundra!$D$7</f>
        <v>690</v>
      </c>
      <c r="J8" t="s">
        <v>16</v>
      </c>
    </row>
    <row r="9" spans="2:14">
      <c r="B9" t="s">
        <v>183</v>
      </c>
      <c r="C9" t="s">
        <v>74</v>
      </c>
      <c r="D9" t="s">
        <v>355</v>
      </c>
      <c r="E9" t="s">
        <v>103</v>
      </c>
      <c r="F9" t="s">
        <v>4</v>
      </c>
      <c r="G9" t="str">
        <f>Table137[[#This Row],[PORT]]&amp;Table137[[#This Row],[VESSEL TYPE]]&amp;Table137[[#This Row],[VESSEL RUN]]&amp;Table137[[#This Row],[SERVICE]]</f>
        <v>MUNDRADRY BULKFOREIGNMooring</v>
      </c>
      <c r="H9">
        <f>Mundra!$C$8</f>
        <v>3.4720000000000001E-2</v>
      </c>
      <c r="I9">
        <f>Mundra!$D$8</f>
        <v>200</v>
      </c>
      <c r="J9" t="s">
        <v>16</v>
      </c>
    </row>
    <row r="10" spans="2:14">
      <c r="B10" t="s">
        <v>183</v>
      </c>
      <c r="C10" t="s">
        <v>74</v>
      </c>
      <c r="D10" t="s">
        <v>355</v>
      </c>
      <c r="E10" t="s">
        <v>103</v>
      </c>
      <c r="F10" t="s">
        <v>343</v>
      </c>
      <c r="G10" t="str">
        <f>Table137[[#This Row],[PORT]]&amp;Table137[[#This Row],[VESSEL TYPE]]&amp;Table137[[#This Row],[VESSEL RUN]]&amp;Table137[[#This Row],[SERVICE]]</f>
        <v>MUNDRADRY BULKFOREIGNPESP &amp; Dredging</v>
      </c>
      <c r="H10">
        <f>IF($J$2&lt;=10000,Mundra!$C$9,IF($J$2&lt;=30000,Mundra!$C$10,Mundra!$C$11))</f>
        <v>800</v>
      </c>
      <c r="I10">
        <f>Mundra!$D$9</f>
        <v>0</v>
      </c>
      <c r="J10" t="s">
        <v>16</v>
      </c>
    </row>
    <row r="11" spans="2:14">
      <c r="B11" t="s">
        <v>183</v>
      </c>
      <c r="C11" t="s">
        <v>76</v>
      </c>
      <c r="D11" t="s">
        <v>355</v>
      </c>
      <c r="E11" t="s">
        <v>103</v>
      </c>
      <c r="F11" t="s">
        <v>0</v>
      </c>
      <c r="G11" t="str">
        <f>Table137[[#This Row],[PORT]]&amp;Table137[[#This Row],[VESSEL TYPE]]&amp;Table137[[#This Row],[VESSEL RUN]]&amp;Table137[[#This Row],[SERVICE]]</f>
        <v>DAHEJDRY BULKFOREIGNPort Dues</v>
      </c>
      <c r="H11">
        <f>Dahej!$C$3</f>
        <v>0.33300000000000002</v>
      </c>
      <c r="I11">
        <f>Dahej!$D$3</f>
        <v>1200</v>
      </c>
      <c r="J11" t="s">
        <v>16</v>
      </c>
    </row>
    <row r="12" spans="2:14">
      <c r="B12" t="s">
        <v>183</v>
      </c>
      <c r="C12" t="s">
        <v>76</v>
      </c>
      <c r="D12" t="s">
        <v>355</v>
      </c>
      <c r="E12" t="s">
        <v>103</v>
      </c>
      <c r="F12" t="s">
        <v>3</v>
      </c>
      <c r="G12" t="str">
        <f>Table137[[#This Row],[PORT]]&amp;Table137[[#This Row],[VESSEL TYPE]]&amp;Table137[[#This Row],[VESSEL RUN]]&amp;Table137[[#This Row],[SERVICE]]</f>
        <v>DAHEJDRY BULKFOREIGNPilotage</v>
      </c>
      <c r="H12">
        <f>Dahej!$C$5</f>
        <v>1.0170699999999999</v>
      </c>
      <c r="I12">
        <f>Dahej!$D$5</f>
        <v>1000</v>
      </c>
      <c r="J12" t="s">
        <v>16</v>
      </c>
    </row>
    <row r="13" spans="2:14">
      <c r="B13" t="s">
        <v>183</v>
      </c>
      <c r="C13" t="s">
        <v>76</v>
      </c>
      <c r="D13" t="s">
        <v>355</v>
      </c>
      <c r="E13" t="s">
        <v>103</v>
      </c>
      <c r="F13" t="s">
        <v>7</v>
      </c>
      <c r="G13" t="str">
        <f>Table137[[#This Row],[PORT]]&amp;Table137[[#This Row],[VESSEL TYPE]]&amp;Table137[[#This Row],[VESSEL RUN]]&amp;Table137[[#This Row],[SERVICE]]</f>
        <v>DAHEJDRY BULKFOREIGNBerth Hire</v>
      </c>
      <c r="H13">
        <f>Dahej!$C$7</f>
        <v>9.7000000000000003E-3</v>
      </c>
      <c r="I13">
        <f>Dahej!$D$7</f>
        <v>1000</v>
      </c>
      <c r="J13" t="s">
        <v>16</v>
      </c>
    </row>
    <row r="14" spans="2:14">
      <c r="B14" t="s">
        <v>183</v>
      </c>
      <c r="C14" t="s">
        <v>76</v>
      </c>
      <c r="D14" t="s">
        <v>355</v>
      </c>
      <c r="E14" t="s">
        <v>103</v>
      </c>
      <c r="F14" t="s">
        <v>4</v>
      </c>
      <c r="G14" t="str">
        <f>Table137[[#This Row],[PORT]]&amp;Table137[[#This Row],[VESSEL TYPE]]&amp;Table137[[#This Row],[VESSEL RUN]]&amp;Table137[[#This Row],[SERVICE]]</f>
        <v>DAHEJDRY BULKFOREIGNMooring</v>
      </c>
      <c r="H14">
        <f>Dahej!$C$8</f>
        <v>3.4720000000000001E-2</v>
      </c>
      <c r="I14">
        <f>Dahej!$D$8</f>
        <v>200</v>
      </c>
      <c r="J14" t="s">
        <v>16</v>
      </c>
    </row>
    <row r="15" spans="2:14">
      <c r="B15" t="s">
        <v>183</v>
      </c>
      <c r="C15" t="s">
        <v>76</v>
      </c>
      <c r="D15" t="s">
        <v>355</v>
      </c>
      <c r="E15" t="s">
        <v>103</v>
      </c>
      <c r="F15" t="s">
        <v>343</v>
      </c>
      <c r="G15" t="str">
        <f>Table137[[#This Row],[PORT]]&amp;Table137[[#This Row],[VESSEL TYPE]]&amp;Table137[[#This Row],[VESSEL RUN]]&amp;Table137[[#This Row],[SERVICE]]</f>
        <v>DAHEJDRY BULKFOREIGNPESP &amp; Dredging</v>
      </c>
      <c r="H15">
        <f>IF($J$2&lt;=10000,Dahej!C9,IF($J$2&lt;=30000,Dahej!C10,Dahej!C11))</f>
        <v>1.2500000000000001E-2</v>
      </c>
      <c r="I15">
        <f>IF($J$2&lt;=10000,Dahej!D9,IF($J$2&lt;=30000,Dahej!D10,Dahej!D11))</f>
        <v>100</v>
      </c>
      <c r="J15" t="s">
        <v>16</v>
      </c>
    </row>
    <row r="16" spans="2:14">
      <c r="B16" t="s">
        <v>183</v>
      </c>
      <c r="C16" t="s">
        <v>76</v>
      </c>
      <c r="D16" t="s">
        <v>373</v>
      </c>
      <c r="E16" t="s">
        <v>103</v>
      </c>
      <c r="F16" t="s">
        <v>0</v>
      </c>
      <c r="G16" s="28" t="str">
        <f>Table137[[#This Row],[PORT]]&amp;Table137[[#This Row],[VESSEL TYPE]]&amp;Table137[[#This Row],[VESSEL RUN]]&amp;Table137[[#This Row],[SERVICE]]</f>
        <v>DAHEJBREAK BULKFOREIGNPort Dues</v>
      </c>
      <c r="H16">
        <f>Dahej!$C$3</f>
        <v>0.33300000000000002</v>
      </c>
      <c r="I16">
        <f>Dahej!$D$3</f>
        <v>1200</v>
      </c>
      <c r="J16" t="s">
        <v>16</v>
      </c>
    </row>
    <row r="17" spans="2:10">
      <c r="B17" t="s">
        <v>183</v>
      </c>
      <c r="C17" t="s">
        <v>76</v>
      </c>
      <c r="D17" t="s">
        <v>373</v>
      </c>
      <c r="E17" t="s">
        <v>103</v>
      </c>
      <c r="F17" t="s">
        <v>3</v>
      </c>
      <c r="G17" s="28" t="str">
        <f>Table137[[#This Row],[PORT]]&amp;Table137[[#This Row],[VESSEL TYPE]]&amp;Table137[[#This Row],[VESSEL RUN]]&amp;Table137[[#This Row],[SERVICE]]</f>
        <v>DAHEJBREAK BULKFOREIGNPilotage</v>
      </c>
      <c r="H17">
        <f>Dahej!$C$4</f>
        <v>1.7177</v>
      </c>
      <c r="I17">
        <f>Dahej!$D$4</f>
        <v>1000</v>
      </c>
      <c r="J17" t="s">
        <v>16</v>
      </c>
    </row>
    <row r="18" spans="2:10">
      <c r="B18" t="s">
        <v>183</v>
      </c>
      <c r="C18" t="s">
        <v>76</v>
      </c>
      <c r="D18" t="s">
        <v>373</v>
      </c>
      <c r="E18" t="s">
        <v>103</v>
      </c>
      <c r="F18" t="s">
        <v>7</v>
      </c>
      <c r="G18" s="28" t="str">
        <f>Table137[[#This Row],[PORT]]&amp;Table137[[#This Row],[VESSEL TYPE]]&amp;Table137[[#This Row],[VESSEL RUN]]&amp;Table137[[#This Row],[SERVICE]]</f>
        <v>DAHEJBREAK BULKFOREIGNBerth Hire</v>
      </c>
      <c r="H18">
        <f>Dahej!$C$6</f>
        <v>2.1340000000000001E-2</v>
      </c>
      <c r="I18">
        <f>Dahej!$D$6</f>
        <v>1000</v>
      </c>
      <c r="J18" t="s">
        <v>16</v>
      </c>
    </row>
    <row r="19" spans="2:10">
      <c r="B19" t="s">
        <v>183</v>
      </c>
      <c r="C19" t="s">
        <v>76</v>
      </c>
      <c r="D19" t="s">
        <v>373</v>
      </c>
      <c r="E19" t="s">
        <v>103</v>
      </c>
      <c r="F19" t="s">
        <v>4</v>
      </c>
      <c r="G19" s="28" t="str">
        <f>Table137[[#This Row],[PORT]]&amp;Table137[[#This Row],[VESSEL TYPE]]&amp;Table137[[#This Row],[VESSEL RUN]]&amp;Table137[[#This Row],[SERVICE]]</f>
        <v>DAHEJBREAK BULKFOREIGNMooring</v>
      </c>
      <c r="H19">
        <f>Dahej!$C$8</f>
        <v>3.4720000000000001E-2</v>
      </c>
      <c r="I19">
        <f>Dahej!$D$8</f>
        <v>200</v>
      </c>
      <c r="J19" t="s">
        <v>16</v>
      </c>
    </row>
    <row r="20" spans="2:10">
      <c r="B20" t="s">
        <v>183</v>
      </c>
      <c r="C20" t="s">
        <v>76</v>
      </c>
      <c r="D20" t="s">
        <v>373</v>
      </c>
      <c r="E20" t="s">
        <v>103</v>
      </c>
      <c r="F20" t="s">
        <v>343</v>
      </c>
      <c r="G20" s="28" t="str">
        <f>Table137[[#This Row],[PORT]]&amp;Table137[[#This Row],[VESSEL TYPE]]&amp;Table137[[#This Row],[VESSEL RUN]]&amp;Table137[[#This Row],[SERVICE]]</f>
        <v>DAHEJBREAK BULKFOREIGNPESP &amp; Dredging</v>
      </c>
      <c r="H20">
        <f>IF($J$2&lt;=10000,Dahej!C9,IF($J$2&lt;=30000,Dahej!C10,Dahej!C11))</f>
        <v>1.2500000000000001E-2</v>
      </c>
      <c r="I20">
        <f>IF($J$2&lt;=10000,Dahej!D9,IF($J$2&lt;=30000,Dahej!D10,Dahej!D11))</f>
        <v>100</v>
      </c>
      <c r="J20" t="s">
        <v>16</v>
      </c>
    </row>
    <row r="21" spans="2:10">
      <c r="B21" t="s">
        <v>183</v>
      </c>
      <c r="C21" t="s">
        <v>89</v>
      </c>
      <c r="D21" t="s">
        <v>355</v>
      </c>
      <c r="E21" t="s">
        <v>103</v>
      </c>
      <c r="F21" t="s">
        <v>0</v>
      </c>
      <c r="G21" s="28" t="str">
        <f>Table137[[#This Row],[PORT]]&amp;Table137[[#This Row],[VESSEL TYPE]]&amp;Table137[[#This Row],[VESSEL RUN]]&amp;Table137[[#This Row],[SERVICE]]</f>
        <v>DHAMRADRY BULKFOREIGNPort Dues</v>
      </c>
      <c r="H21">
        <f>Dhamra!C3</f>
        <v>0.05</v>
      </c>
      <c r="I21">
        <f>Dhamra!D3</f>
        <v>250</v>
      </c>
      <c r="J21" t="s">
        <v>16</v>
      </c>
    </row>
    <row r="22" spans="2:10">
      <c r="B22" t="s">
        <v>183</v>
      </c>
      <c r="C22" t="s">
        <v>89</v>
      </c>
      <c r="D22" t="s">
        <v>355</v>
      </c>
      <c r="E22" t="s">
        <v>103</v>
      </c>
      <c r="F22" t="s">
        <v>3</v>
      </c>
      <c r="G22" s="28" t="str">
        <f>Table137[[#This Row],[PORT]]&amp;Table137[[#This Row],[VESSEL TYPE]]&amp;Table137[[#This Row],[VESSEL RUN]]&amp;Table137[[#This Row],[SERVICE]]</f>
        <v>DHAMRADRY BULKFOREIGNPilotage</v>
      </c>
      <c r="H22">
        <f>IF($J$2&lt;=60000,Dhamra!C4,Dhamra!C5)</f>
        <v>2.2367059999999999</v>
      </c>
      <c r="I22">
        <f>Dhamra!D4</f>
        <v>6000</v>
      </c>
      <c r="J22" t="s">
        <v>16</v>
      </c>
    </row>
    <row r="23" spans="2:10">
      <c r="B23" t="s">
        <v>183</v>
      </c>
      <c r="C23" t="s">
        <v>89</v>
      </c>
      <c r="D23" t="s">
        <v>355</v>
      </c>
      <c r="E23" t="s">
        <v>103</v>
      </c>
      <c r="F23" t="s">
        <v>7</v>
      </c>
      <c r="G23" s="28" t="str">
        <f>Table137[[#This Row],[PORT]]&amp;Table137[[#This Row],[VESSEL TYPE]]&amp;Table137[[#This Row],[VESSEL RUN]]&amp;Table137[[#This Row],[SERVICE]]</f>
        <v>DHAMRADRY BULKFOREIGNBerth Hire</v>
      </c>
      <c r="H23">
        <f>IF($J$2&lt;=60000,Dhamra!C6,Dhamra!C7)</f>
        <v>1.04E-2</v>
      </c>
      <c r="I23">
        <f>IF(J2&lt;60000,Dhamra!D6,Dhamra!D7)</f>
        <v>720</v>
      </c>
      <c r="J23" t="s">
        <v>16</v>
      </c>
    </row>
    <row r="24" spans="2:10">
      <c r="B24" t="s">
        <v>183</v>
      </c>
      <c r="C24" t="s">
        <v>89</v>
      </c>
      <c r="D24" t="s">
        <v>355</v>
      </c>
      <c r="E24" t="s">
        <v>103</v>
      </c>
      <c r="F24" t="s">
        <v>4</v>
      </c>
      <c r="G24" s="28" t="str">
        <f>Table137[[#This Row],[PORT]]&amp;Table137[[#This Row],[VESSEL TYPE]]&amp;Table137[[#This Row],[VESSEL RUN]]&amp;Table137[[#This Row],[SERVICE]]</f>
        <v>DHAMRADRY BULKFOREIGNMooring</v>
      </c>
      <c r="H24">
        <f>Dhamra!C8</f>
        <v>3.4720000000000001E-2</v>
      </c>
      <c r="I24">
        <f>Dhamra!D8</f>
        <v>200</v>
      </c>
      <c r="J24" t="s">
        <v>16</v>
      </c>
    </row>
    <row r="25" spans="2:10">
      <c r="B25" t="s">
        <v>183</v>
      </c>
      <c r="C25" t="s">
        <v>89</v>
      </c>
      <c r="D25" t="s">
        <v>355</v>
      </c>
      <c r="E25" t="s">
        <v>103</v>
      </c>
      <c r="F25" t="s">
        <v>343</v>
      </c>
      <c r="G25" s="28" t="str">
        <f>Table137[[#This Row],[PORT]]&amp;Table137[[#This Row],[VESSEL TYPE]]&amp;Table137[[#This Row],[VESSEL RUN]]&amp;Table137[[#This Row],[SERVICE]]</f>
        <v>DHAMRADRY BULKFOREIGNPESP &amp; Dredging</v>
      </c>
      <c r="H25">
        <f>IF($J$2&lt;=10000,Dhamra!C9,IF($J$2&lt;=30000,Dhamra!$C$10,Dhamra!$C$11))</f>
        <v>1400</v>
      </c>
      <c r="I25">
        <v>0</v>
      </c>
      <c r="J25" t="s">
        <v>16</v>
      </c>
    </row>
    <row r="26" spans="2:10">
      <c r="B26" t="s">
        <v>183</v>
      </c>
      <c r="C26" t="s">
        <v>90</v>
      </c>
      <c r="D26" t="s">
        <v>102</v>
      </c>
      <c r="E26" t="s">
        <v>103</v>
      </c>
      <c r="F26" t="s">
        <v>3</v>
      </c>
      <c r="G26" s="28" t="str">
        <f>Table137[[#This Row],[PORT]]&amp;Table137[[#This Row],[VESSEL TYPE]]&amp;Table137[[#This Row],[VESSEL RUN]]&amp;Table137[[#This Row],[SERVICE]]</f>
        <v>KATTUPALLICONTAINERFOREIGNPilotage</v>
      </c>
      <c r="H26">
        <f>IF($J$2&lt;=3000,Kattupalli!C5,IF('Tariff Master'!$J$2&lt;=10000,Kattupalli!C6,IF('Tariff Master'!$J$2&lt;=15000,Kattupalli!C7,IF('Tariff Master'!$J$2&lt;=30000,Kattupalli!C8,IF('Tariff Master'!$J$2&lt;=60000,Kattupalli!C9,Kattupalli!C10)))))</f>
        <v>0.82399999999999995</v>
      </c>
      <c r="I26">
        <f>IF(J2&lt;=3000,Kattupalli!D5,Kattupalli!D6)</f>
        <v>3492</v>
      </c>
      <c r="J26" t="str">
        <f>Kattupalli!E5</f>
        <v>USD</v>
      </c>
    </row>
    <row r="27" spans="2:10">
      <c r="B27" t="s">
        <v>183</v>
      </c>
      <c r="C27" t="s">
        <v>90</v>
      </c>
      <c r="D27" t="s">
        <v>102</v>
      </c>
      <c r="E27" t="s">
        <v>103</v>
      </c>
      <c r="F27" t="s">
        <v>7</v>
      </c>
      <c r="G27" s="28" t="str">
        <f>Table137[[#This Row],[PORT]]&amp;Table137[[#This Row],[VESSEL TYPE]]&amp;Table137[[#This Row],[VESSEL RUN]]&amp;Table137[[#This Row],[SERVICE]]</f>
        <v>KATTUPALLICONTAINERFOREIGNBerth Hire</v>
      </c>
      <c r="H27">
        <f>Kattupalli!C29</f>
        <v>3.8999999999999998E-3</v>
      </c>
      <c r="I27">
        <f>Kattupalli!D29</f>
        <v>805</v>
      </c>
      <c r="J27" t="s">
        <v>16</v>
      </c>
    </row>
    <row r="28" spans="2:10">
      <c r="B28" t="s">
        <v>183</v>
      </c>
      <c r="C28" t="s">
        <v>90</v>
      </c>
      <c r="D28" t="s">
        <v>102</v>
      </c>
      <c r="E28" t="s">
        <v>138</v>
      </c>
      <c r="F28" t="s">
        <v>7</v>
      </c>
      <c r="G28" s="28" t="str">
        <f>Table137[[#This Row],[PORT]]&amp;Table137[[#This Row],[VESSEL TYPE]]&amp;Table137[[#This Row],[VESSEL RUN]]&amp;Table137[[#This Row],[SERVICE]]</f>
        <v>KATTUPALLICONTAINERCOASTALBerth Hire</v>
      </c>
      <c r="H28">
        <f>Kattupalli!C30</f>
        <v>0.11</v>
      </c>
      <c r="I28">
        <f>Kattupalli!D30</f>
        <v>13420</v>
      </c>
      <c r="J28" t="s">
        <v>40</v>
      </c>
    </row>
    <row r="29" spans="2:10">
      <c r="B29" t="s">
        <v>183</v>
      </c>
      <c r="C29" t="s">
        <v>90</v>
      </c>
      <c r="D29" t="s">
        <v>102</v>
      </c>
      <c r="E29" t="s">
        <v>103</v>
      </c>
      <c r="F29" t="s">
        <v>4</v>
      </c>
      <c r="G29" s="28" t="str">
        <f>Table137[[#This Row],[PORT]]&amp;Table137[[#This Row],[VESSEL TYPE]]&amp;Table137[[#This Row],[VESSEL RUN]]&amp;Table137[[#This Row],[SERVICE]]</f>
        <v>KATTUPALLICONTAINERFOREIGNMooring</v>
      </c>
      <c r="H29">
        <f>Kattupalli!C33</f>
        <v>3.5000000000000003E-2</v>
      </c>
      <c r="I29">
        <f>Kattupalli!D33</f>
        <v>200</v>
      </c>
      <c r="J29" t="s">
        <v>16</v>
      </c>
    </row>
    <row r="30" spans="2:10">
      <c r="B30" t="s">
        <v>183</v>
      </c>
      <c r="C30" t="s">
        <v>90</v>
      </c>
      <c r="D30" t="s">
        <v>102</v>
      </c>
      <c r="E30" t="s">
        <v>138</v>
      </c>
      <c r="F30" t="s">
        <v>4</v>
      </c>
      <c r="G30" s="28" t="str">
        <f>Table137[[#This Row],[PORT]]&amp;Table137[[#This Row],[VESSEL TYPE]]&amp;Table137[[#This Row],[VESSEL RUN]]&amp;Table137[[#This Row],[SERVICE]]</f>
        <v>KATTUPALLICONTAINERCOASTALMooring</v>
      </c>
      <c r="H30">
        <f>Kattupalli!C33</f>
        <v>3.5000000000000003E-2</v>
      </c>
      <c r="I30">
        <f>Kattupalli!D33</f>
        <v>200</v>
      </c>
      <c r="J30" t="s">
        <v>16</v>
      </c>
    </row>
    <row r="31" spans="2:10">
      <c r="B31" t="s">
        <v>183</v>
      </c>
      <c r="C31" t="s">
        <v>90</v>
      </c>
      <c r="D31" t="s">
        <v>102</v>
      </c>
      <c r="E31" t="s">
        <v>103</v>
      </c>
      <c r="F31" t="s">
        <v>343</v>
      </c>
      <c r="G31" s="28" t="str">
        <f>Table137[[#This Row],[PORT]]&amp;Table137[[#This Row],[VESSEL TYPE]]&amp;Table137[[#This Row],[VESSEL RUN]]&amp;Table137[[#This Row],[SERVICE]]</f>
        <v>KATTUPALLICONTAINERFOREIGNPESP &amp; Dredging</v>
      </c>
      <c r="H31">
        <v>0</v>
      </c>
      <c r="I31">
        <v>0</v>
      </c>
      <c r="J31" t="s">
        <v>16</v>
      </c>
    </row>
    <row r="32" spans="2:10">
      <c r="B32" t="s">
        <v>183</v>
      </c>
      <c r="C32" t="s">
        <v>90</v>
      </c>
      <c r="D32" t="s">
        <v>102</v>
      </c>
      <c r="E32" t="s">
        <v>138</v>
      </c>
      <c r="F32" t="s">
        <v>343</v>
      </c>
      <c r="G32" s="28" t="str">
        <f>Table137[[#This Row],[PORT]]&amp;Table137[[#This Row],[VESSEL TYPE]]&amp;Table137[[#This Row],[VESSEL RUN]]&amp;Table137[[#This Row],[SERVICE]]</f>
        <v>KATTUPALLICONTAINERCOASTALPESP &amp; Dredging</v>
      </c>
      <c r="H32">
        <v>0</v>
      </c>
      <c r="I32">
        <v>0</v>
      </c>
      <c r="J32" t="s">
        <v>16</v>
      </c>
    </row>
    <row r="33" spans="2:10">
      <c r="B33" t="s">
        <v>183</v>
      </c>
      <c r="C33" t="s">
        <v>90</v>
      </c>
      <c r="D33" t="s">
        <v>355</v>
      </c>
      <c r="E33" t="s">
        <v>103</v>
      </c>
      <c r="F33" t="s">
        <v>3</v>
      </c>
      <c r="G33" s="28" t="str">
        <f>Table137[[#This Row],[PORT]]&amp;Table137[[#This Row],[VESSEL TYPE]]&amp;Table137[[#This Row],[VESSEL RUN]]&amp;Table137[[#This Row],[SERVICE]]</f>
        <v>KATTUPALLIDRY BULKFOREIGNPilotage</v>
      </c>
      <c r="H33">
        <f>IF($J$2&lt;=3000,Kattupalli!$C$17,IF('Tariff Master'!$J$2&lt;=10000,Kattupalli!$C$18,IF('Tariff Master'!$J$2&lt;=15000,Kattupalli!$C$19,IF('Tariff Master'!$J$2&lt;=30000,Kattupalli!$C$20,IF('Tariff Master'!$J$2&lt;=60000,Kattupalli!$C$21,Kattupalli!$C$22)))))</f>
        <v>0.92900000000000005</v>
      </c>
      <c r="I33">
        <f>IF($J$2&lt;=3000,Kattupalli!$D$17,Kattupalli!$D$18)</f>
        <v>3861</v>
      </c>
      <c r="J33" t="str">
        <f>Kattupalli!$E$17</f>
        <v>USD</v>
      </c>
    </row>
    <row r="34" spans="2:10">
      <c r="B34" t="s">
        <v>183</v>
      </c>
      <c r="C34" t="s">
        <v>90</v>
      </c>
      <c r="D34" t="s">
        <v>355</v>
      </c>
      <c r="E34" t="s">
        <v>103</v>
      </c>
      <c r="F34" t="s">
        <v>7</v>
      </c>
      <c r="G34" s="28" t="str">
        <f>Table137[[#This Row],[PORT]]&amp;Table137[[#This Row],[VESSEL TYPE]]&amp;Table137[[#This Row],[VESSEL RUN]]&amp;Table137[[#This Row],[SERVICE]]</f>
        <v>KATTUPALLIDRY BULKFOREIGNBerth Hire</v>
      </c>
      <c r="H34">
        <f>Kattupalli!$C$31</f>
        <v>5.4000000000000003E-3</v>
      </c>
      <c r="I34">
        <f>Kattupalli!$D$31</f>
        <v>805</v>
      </c>
      <c r="J34" t="str">
        <f>Kattupalli!$E$31</f>
        <v>USD</v>
      </c>
    </row>
    <row r="35" spans="2:10">
      <c r="B35" t="s">
        <v>183</v>
      </c>
      <c r="C35" t="s">
        <v>90</v>
      </c>
      <c r="D35" t="s">
        <v>355</v>
      </c>
      <c r="E35" t="s">
        <v>138</v>
      </c>
      <c r="F35" t="s">
        <v>3</v>
      </c>
      <c r="G35" s="28" t="str">
        <f>Table137[[#This Row],[PORT]]&amp;Table137[[#This Row],[VESSEL TYPE]]&amp;Table137[[#This Row],[VESSEL RUN]]&amp;Table137[[#This Row],[SERVICE]]</f>
        <v>KATTUPALLIDRY BULKCOASTALPilotage</v>
      </c>
      <c r="H35">
        <f>IF($J$2&lt;=3000,Kattupalli!$C$23,IF('Tariff Master'!$J$2&lt;=10000,Kattupalli!$C$24,IF('Tariff Master'!$J$2&lt;=15000,Kattupalli!$C$25,IF('Tariff Master'!$J$2&lt;=30000,Kattupalli!$C$26,IF('Tariff Master'!$J$2&lt;=60000,Kattupalli!$C$27,Kattupalli!$C$28)))))</f>
        <v>22.87</v>
      </c>
      <c r="I35">
        <f>IF($J$2&lt;=3000,Kattupalli!$D$23,Kattupalli!$D$24)</f>
        <v>42887</v>
      </c>
      <c r="J35" t="str">
        <f>Kattupalli!$E$11</f>
        <v>INR</v>
      </c>
    </row>
    <row r="36" spans="2:10">
      <c r="B36" t="s">
        <v>183</v>
      </c>
      <c r="C36" t="s">
        <v>90</v>
      </c>
      <c r="D36" t="s">
        <v>355</v>
      </c>
      <c r="E36" t="s">
        <v>138</v>
      </c>
      <c r="F36" t="s">
        <v>7</v>
      </c>
      <c r="G36" s="28" t="str">
        <f>Table137[[#This Row],[PORT]]&amp;Table137[[#This Row],[VESSEL TYPE]]&amp;Table137[[#This Row],[VESSEL RUN]]&amp;Table137[[#This Row],[SERVICE]]</f>
        <v>KATTUPALLIDRY BULKCOASTALBerth Hire</v>
      </c>
      <c r="H36">
        <f>Kattupalli!$C$32</f>
        <v>0.13</v>
      </c>
      <c r="I36">
        <f>Kattupalli!$D$32</f>
        <v>13420</v>
      </c>
      <c r="J36" t="str">
        <f>Kattupalli!$E$32</f>
        <v>INR</v>
      </c>
    </row>
    <row r="37" spans="2:10">
      <c r="B37" t="s">
        <v>183</v>
      </c>
      <c r="C37" t="s">
        <v>90</v>
      </c>
      <c r="D37" t="s">
        <v>355</v>
      </c>
      <c r="E37" t="s">
        <v>103</v>
      </c>
      <c r="F37" t="s">
        <v>4</v>
      </c>
      <c r="G37" s="28" t="str">
        <f>Table137[[#This Row],[PORT]]&amp;Table137[[#This Row],[VESSEL TYPE]]&amp;Table137[[#This Row],[VESSEL RUN]]&amp;Table137[[#This Row],[SERVICE]]</f>
        <v>KATTUPALLIDRY BULKFOREIGNMooring</v>
      </c>
      <c r="H37">
        <f>Kattupalli!$C$33</f>
        <v>3.5000000000000003E-2</v>
      </c>
      <c r="I37">
        <f>Kattupalli!$D$33</f>
        <v>200</v>
      </c>
      <c r="J37" t="str">
        <f>Kattupalli!$E$33</f>
        <v>USD</v>
      </c>
    </row>
    <row r="38" spans="2:10">
      <c r="B38" t="s">
        <v>183</v>
      </c>
      <c r="C38" t="s">
        <v>90</v>
      </c>
      <c r="D38" t="s">
        <v>355</v>
      </c>
      <c r="E38" t="s">
        <v>138</v>
      </c>
      <c r="F38" t="s">
        <v>4</v>
      </c>
      <c r="G38" s="28" t="str">
        <f>Table137[[#This Row],[PORT]]&amp;Table137[[#This Row],[VESSEL TYPE]]&amp;Table137[[#This Row],[VESSEL RUN]]&amp;Table137[[#This Row],[SERVICE]]</f>
        <v>KATTUPALLIDRY BULKCOASTALMooring</v>
      </c>
      <c r="H38">
        <f>Kattupalli!$C$33</f>
        <v>3.5000000000000003E-2</v>
      </c>
      <c r="I38">
        <f>Kattupalli!$D$33</f>
        <v>200</v>
      </c>
      <c r="J38" t="str">
        <f>Kattupalli!$E$33</f>
        <v>USD</v>
      </c>
    </row>
    <row r="39" spans="2:10">
      <c r="B39" t="s">
        <v>183</v>
      </c>
      <c r="C39" t="s">
        <v>90</v>
      </c>
      <c r="D39" t="s">
        <v>355</v>
      </c>
      <c r="E39" t="s">
        <v>103</v>
      </c>
      <c r="F39" t="s">
        <v>343</v>
      </c>
      <c r="G39" s="28" t="str">
        <f>Table137[[#This Row],[PORT]]&amp;Table137[[#This Row],[VESSEL TYPE]]&amp;Table137[[#This Row],[VESSEL RUN]]&amp;Table137[[#This Row],[SERVICE]]</f>
        <v>KATTUPALLIDRY BULKFOREIGNPESP &amp; Dredging</v>
      </c>
      <c r="H39">
        <f>IF($J$2&lt;=10000,Kattupalli!$C$34,IF($J$2&lt;=30000,Kattupalli!$C$35,Kattupalli!$C$36))</f>
        <v>800</v>
      </c>
      <c r="I39">
        <f>IF($J$2&lt;=10000,Kattupalli!$D$34,IF($J$2&lt;30000,Kattupalli!$D$35,Kattupalli!$D$36))</f>
        <v>0</v>
      </c>
      <c r="J39" t="s">
        <v>16</v>
      </c>
    </row>
    <row r="40" spans="2:10">
      <c r="B40" t="s">
        <v>183</v>
      </c>
      <c r="C40" t="s">
        <v>90</v>
      </c>
      <c r="D40" t="s">
        <v>355</v>
      </c>
      <c r="E40" t="s">
        <v>138</v>
      </c>
      <c r="F40" t="s">
        <v>343</v>
      </c>
      <c r="G40" s="28" t="str">
        <f>Table137[[#This Row],[PORT]]&amp;Table137[[#This Row],[VESSEL TYPE]]&amp;Table137[[#This Row],[VESSEL RUN]]&amp;Table137[[#This Row],[SERVICE]]</f>
        <v>KATTUPALLIDRY BULKCOASTALPESP &amp; Dredging</v>
      </c>
      <c r="H40">
        <f>IF($J$2&lt;=10000,Kattupalli!$C$34,IF($J$2&lt;=30000,Kattupalli!$C$35,Kattupalli!$C$36))</f>
        <v>800</v>
      </c>
      <c r="I40">
        <f>IF($J$2&lt;=10000,Kattupalli!$D$34,IF($J$2&lt;30000,Kattupalli!$D$35,Kattupalli!$D$36))</f>
        <v>0</v>
      </c>
      <c r="J40" t="s">
        <v>16</v>
      </c>
    </row>
    <row r="41" spans="2:10">
      <c r="B41" t="s">
        <v>183</v>
      </c>
      <c r="C41" t="s">
        <v>88</v>
      </c>
      <c r="D41" t="s">
        <v>355</v>
      </c>
      <c r="E41" t="s">
        <v>103</v>
      </c>
      <c r="F41" t="s">
        <v>0</v>
      </c>
      <c r="G41" s="28" t="str">
        <f>Table137[[#This Row],[PORT]]&amp;Table137[[#This Row],[VESSEL TYPE]]&amp;Table137[[#This Row],[VESSEL RUN]]&amp;Table137[[#This Row],[SERVICE]]</f>
        <v>HAZIRADRY BULKFOREIGNPort Dues</v>
      </c>
      <c r="H41">
        <f>Hazira!$C$9</f>
        <v>0.06</v>
      </c>
      <c r="I41">
        <f>Hazira!$D$9</f>
        <v>425</v>
      </c>
      <c r="J41" t="s">
        <v>16</v>
      </c>
    </row>
    <row r="42" spans="2:10">
      <c r="B42" t="s">
        <v>183</v>
      </c>
      <c r="C42" t="s">
        <v>88</v>
      </c>
      <c r="D42" t="s">
        <v>355</v>
      </c>
      <c r="E42" t="s">
        <v>103</v>
      </c>
      <c r="F42" t="s">
        <v>3</v>
      </c>
      <c r="G42" s="28" t="str">
        <f>Table137[[#This Row],[PORT]]&amp;Table137[[#This Row],[VESSEL TYPE]]&amp;Table137[[#This Row],[VESSEL RUN]]&amp;Table137[[#This Row],[SERVICE]]</f>
        <v>HAZIRADRY BULKFOREIGNPilotage</v>
      </c>
      <c r="H42">
        <f>Hazira!$C$10</f>
        <v>1.2210000000000001</v>
      </c>
      <c r="I42">
        <f>IF($J$2&lt;=3000,Hazira!$D$10,IF('Tariff Master'!$J$2&lt;=15000,Hazira!$D$11,Hazira!$D$12))</f>
        <v>19600</v>
      </c>
      <c r="J42" t="s">
        <v>16</v>
      </c>
    </row>
    <row r="43" spans="2:10">
      <c r="B43" t="s">
        <v>183</v>
      </c>
      <c r="C43" t="s">
        <v>88</v>
      </c>
      <c r="D43" t="s">
        <v>355</v>
      </c>
      <c r="E43" t="s">
        <v>103</v>
      </c>
      <c r="F43" t="s">
        <v>7</v>
      </c>
      <c r="G43" s="28" t="str">
        <f>Table137[[#This Row],[PORT]]&amp;Table137[[#This Row],[VESSEL TYPE]]&amp;Table137[[#This Row],[VESSEL RUN]]&amp;Table137[[#This Row],[SERVICE]]</f>
        <v>HAZIRADRY BULKFOREIGNBerth Hire</v>
      </c>
      <c r="H43">
        <f>Hazira!$C$17</f>
        <v>1.11E-2</v>
      </c>
      <c r="I43">
        <f>Hazira!$D$17</f>
        <v>690</v>
      </c>
      <c r="J43" t="s">
        <v>16</v>
      </c>
    </row>
    <row r="44" spans="2:10">
      <c r="B44" t="s">
        <v>183</v>
      </c>
      <c r="C44" t="s">
        <v>88</v>
      </c>
      <c r="D44" t="s">
        <v>355</v>
      </c>
      <c r="E44" t="s">
        <v>103</v>
      </c>
      <c r="F44" t="s">
        <v>4</v>
      </c>
      <c r="G44" s="28" t="str">
        <f>Table137[[#This Row],[PORT]]&amp;Table137[[#This Row],[VESSEL TYPE]]&amp;Table137[[#This Row],[VESSEL RUN]]&amp;Table137[[#This Row],[SERVICE]]</f>
        <v>HAZIRADRY BULKFOREIGNMooring</v>
      </c>
      <c r="H44">
        <f>Hazira!$C$21</f>
        <v>3.6499999999999998E-2</v>
      </c>
      <c r="I44">
        <f>Hazira!$D$21</f>
        <v>210</v>
      </c>
      <c r="J44" t="s">
        <v>16</v>
      </c>
    </row>
    <row r="45" spans="2:10">
      <c r="B45" t="s">
        <v>183</v>
      </c>
      <c r="C45" t="s">
        <v>88</v>
      </c>
      <c r="D45" t="s">
        <v>355</v>
      </c>
      <c r="E45" t="s">
        <v>103</v>
      </c>
      <c r="F45" t="s">
        <v>343</v>
      </c>
      <c r="G45" s="28" t="str">
        <f>Table137[[#This Row],[PORT]]&amp;Table137[[#This Row],[VESSEL TYPE]]&amp;Table137[[#This Row],[VESSEL RUN]]&amp;Table137[[#This Row],[SERVICE]]</f>
        <v>HAZIRADRY BULKFOREIGNPESP &amp; Dredging</v>
      </c>
      <c r="H45">
        <f>IF($J$2&lt;=10000,Hazira!$C$22,IF($J$2&lt;=30000,Hazira!$C$23,Hazira!$C$24))</f>
        <v>800</v>
      </c>
      <c r="I45">
        <f>IF($J$2&lt;=10000,Hazira!$D$22,IF($J$2&lt;30000,Hazira!$D$23,Hazira!$D$24))</f>
        <v>0</v>
      </c>
      <c r="J45" t="s">
        <v>16</v>
      </c>
    </row>
    <row r="46" spans="2:10">
      <c r="B46" t="s">
        <v>183</v>
      </c>
      <c r="C46" t="s">
        <v>88</v>
      </c>
      <c r="D46" t="s">
        <v>102</v>
      </c>
      <c r="E46" t="s">
        <v>103</v>
      </c>
      <c r="F46" t="s">
        <v>0</v>
      </c>
      <c r="G46" s="28" t="str">
        <f>Table137[[#This Row],[PORT]]&amp;Table137[[#This Row],[VESSEL TYPE]]&amp;Table137[[#This Row],[VESSEL RUN]]&amp;Table137[[#This Row],[SERVICE]]</f>
        <v>HAZIRACONTAINERFOREIGNPort Dues</v>
      </c>
      <c r="H46">
        <f>Hazira!$C$9</f>
        <v>0.06</v>
      </c>
      <c r="I46">
        <f>Hazira!$D$9</f>
        <v>425</v>
      </c>
      <c r="J46" t="s">
        <v>16</v>
      </c>
    </row>
    <row r="47" spans="2:10">
      <c r="B47" t="s">
        <v>183</v>
      </c>
      <c r="C47" t="s">
        <v>88</v>
      </c>
      <c r="D47" t="s">
        <v>102</v>
      </c>
      <c r="E47" t="s">
        <v>103</v>
      </c>
      <c r="F47" t="s">
        <v>3</v>
      </c>
      <c r="G47" s="28" t="str">
        <f>Table137[[#This Row],[PORT]]&amp;Table137[[#This Row],[VESSEL TYPE]]&amp;Table137[[#This Row],[VESSEL RUN]]&amp;Table137[[#This Row],[SERVICE]]</f>
        <v>HAZIRACONTAINERFOREIGNPilotage</v>
      </c>
      <c r="H47">
        <f>Hazira!$C$13</f>
        <v>0.98499999999999999</v>
      </c>
      <c r="I47">
        <f>Hazira!$D$13</f>
        <v>9040</v>
      </c>
      <c r="J47" t="s">
        <v>16</v>
      </c>
    </row>
    <row r="48" spans="2:10">
      <c r="B48" t="s">
        <v>183</v>
      </c>
      <c r="C48" t="s">
        <v>88</v>
      </c>
      <c r="D48" t="s">
        <v>102</v>
      </c>
      <c r="E48" t="s">
        <v>103</v>
      </c>
      <c r="F48" t="s">
        <v>7</v>
      </c>
      <c r="G48" s="28" t="str">
        <f>Table137[[#This Row],[PORT]]&amp;Table137[[#This Row],[VESSEL TYPE]]&amp;Table137[[#This Row],[VESSEL RUN]]&amp;Table137[[#This Row],[SERVICE]]</f>
        <v>HAZIRACONTAINERFOREIGNBerth Hire</v>
      </c>
      <c r="H48">
        <f>Hazira!$C$17</f>
        <v>1.11E-2</v>
      </c>
      <c r="I48">
        <f>Hazira!$D$17</f>
        <v>690</v>
      </c>
      <c r="J48" t="s">
        <v>16</v>
      </c>
    </row>
    <row r="49" spans="2:10">
      <c r="B49" t="s">
        <v>183</v>
      </c>
      <c r="C49" t="s">
        <v>88</v>
      </c>
      <c r="D49" t="s">
        <v>102</v>
      </c>
      <c r="E49" t="s">
        <v>103</v>
      </c>
      <c r="F49" t="s">
        <v>4</v>
      </c>
      <c r="G49" s="28" t="str">
        <f>Table137[[#This Row],[PORT]]&amp;Table137[[#This Row],[VESSEL TYPE]]&amp;Table137[[#This Row],[VESSEL RUN]]&amp;Table137[[#This Row],[SERVICE]]</f>
        <v>HAZIRACONTAINERFOREIGNMooring</v>
      </c>
      <c r="H49">
        <f>Hazira!$C$21</f>
        <v>3.6499999999999998E-2</v>
      </c>
      <c r="I49">
        <f>Hazira!$D$21</f>
        <v>210</v>
      </c>
      <c r="J49" t="s">
        <v>16</v>
      </c>
    </row>
    <row r="50" spans="2:10">
      <c r="B50" t="s">
        <v>183</v>
      </c>
      <c r="C50" t="s">
        <v>88</v>
      </c>
      <c r="D50" t="s">
        <v>102</v>
      </c>
      <c r="E50" t="s">
        <v>103</v>
      </c>
      <c r="F50" t="s">
        <v>343</v>
      </c>
      <c r="G50" s="28" t="str">
        <f>Table137[[#This Row],[PORT]]&amp;Table137[[#This Row],[VESSEL TYPE]]&amp;Table137[[#This Row],[VESSEL RUN]]&amp;Table137[[#This Row],[SERVICE]]</f>
        <v>HAZIRACONTAINERFOREIGNPESP &amp; Dredging</v>
      </c>
      <c r="H50">
        <v>0</v>
      </c>
      <c r="I50">
        <v>0</v>
      </c>
      <c r="J50" t="s">
        <v>16</v>
      </c>
    </row>
    <row r="51" spans="2:10">
      <c r="B51" t="s">
        <v>183</v>
      </c>
      <c r="C51" t="s">
        <v>88</v>
      </c>
      <c r="D51" t="s">
        <v>140</v>
      </c>
      <c r="E51" t="s">
        <v>103</v>
      </c>
      <c r="F51" t="s">
        <v>0</v>
      </c>
      <c r="G51" s="28" t="str">
        <f>Table137[[#This Row],[PORT]]&amp;Table137[[#This Row],[VESSEL TYPE]]&amp;Table137[[#This Row],[VESSEL RUN]]&amp;Table137[[#This Row],[SERVICE]]</f>
        <v>HAZIRATANKERFOREIGNPort Dues</v>
      </c>
      <c r="H51">
        <f>Hazira!$C$9</f>
        <v>0.06</v>
      </c>
      <c r="I51">
        <f>Hazira!$D$9</f>
        <v>425</v>
      </c>
      <c r="J51" t="s">
        <v>16</v>
      </c>
    </row>
    <row r="52" spans="2:10">
      <c r="B52" t="s">
        <v>183</v>
      </c>
      <c r="C52" t="s">
        <v>88</v>
      </c>
      <c r="D52" t="s">
        <v>140</v>
      </c>
      <c r="E52" t="s">
        <v>103</v>
      </c>
      <c r="F52" t="s">
        <v>3</v>
      </c>
      <c r="G52" s="28" t="str">
        <f>Table137[[#This Row],[PORT]]&amp;Table137[[#This Row],[VESSEL TYPE]]&amp;Table137[[#This Row],[VESSEL RUN]]&amp;Table137[[#This Row],[SERVICE]]</f>
        <v>HAZIRATANKERFOREIGNPilotage</v>
      </c>
      <c r="H52">
        <f>Hazira!$C$10</f>
        <v>1.2210000000000001</v>
      </c>
      <c r="I52">
        <f>IF($J$2&lt;=3000,Hazira!$D$10,IF('Tariff Master'!$J$2&lt;=15000,Hazira!$D$11,Hazira!$D$12))</f>
        <v>19600</v>
      </c>
      <c r="J52" t="s">
        <v>16</v>
      </c>
    </row>
    <row r="53" spans="2:10">
      <c r="B53" t="s">
        <v>183</v>
      </c>
      <c r="C53" t="s">
        <v>88</v>
      </c>
      <c r="D53" t="s">
        <v>140</v>
      </c>
      <c r="E53" t="s">
        <v>103</v>
      </c>
      <c r="F53" t="s">
        <v>7</v>
      </c>
      <c r="G53" s="28" t="str">
        <f>Table137[[#This Row],[PORT]]&amp;Table137[[#This Row],[VESSEL TYPE]]&amp;Table137[[#This Row],[VESSEL RUN]]&amp;Table137[[#This Row],[SERVICE]]</f>
        <v>HAZIRATANKERFOREIGNBerth Hire</v>
      </c>
      <c r="H53">
        <f>IF($J$2&lt;=15000,Hazira!$C$18,IF($J$2&lt;=30000,Hazira!$C$19,Hazira!$C$20))</f>
        <v>1.3899999999999999E-2</v>
      </c>
      <c r="I53">
        <f>Hazira!$D$18</f>
        <v>690</v>
      </c>
      <c r="J53" t="s">
        <v>16</v>
      </c>
    </row>
    <row r="54" spans="2:10">
      <c r="B54" t="s">
        <v>183</v>
      </c>
      <c r="C54" t="s">
        <v>88</v>
      </c>
      <c r="D54" t="s">
        <v>140</v>
      </c>
      <c r="E54" t="s">
        <v>103</v>
      </c>
      <c r="F54" t="s">
        <v>4</v>
      </c>
      <c r="G54" s="28" t="str">
        <f>Table137[[#This Row],[PORT]]&amp;Table137[[#This Row],[VESSEL TYPE]]&amp;Table137[[#This Row],[VESSEL RUN]]&amp;Table137[[#This Row],[SERVICE]]</f>
        <v>HAZIRATANKERFOREIGNMooring</v>
      </c>
      <c r="H54">
        <f>Hazira!$C$21</f>
        <v>3.6499999999999998E-2</v>
      </c>
      <c r="I54">
        <f>Hazira!$D$21</f>
        <v>210</v>
      </c>
      <c r="J54" t="s">
        <v>16</v>
      </c>
    </row>
    <row r="55" spans="2:10">
      <c r="B55" t="s">
        <v>183</v>
      </c>
      <c r="C55" t="s">
        <v>88</v>
      </c>
      <c r="D55" t="s">
        <v>140</v>
      </c>
      <c r="E55" t="s">
        <v>103</v>
      </c>
      <c r="F55" t="s">
        <v>343</v>
      </c>
      <c r="G55" s="28" t="str">
        <f>Table137[[#This Row],[PORT]]&amp;Table137[[#This Row],[VESSEL TYPE]]&amp;Table137[[#This Row],[VESSEL RUN]]&amp;Table137[[#This Row],[SERVICE]]</f>
        <v>HAZIRATANKERFOREIGNPESP &amp; Dredging</v>
      </c>
      <c r="H55">
        <f>IF($J$2&lt;=10000,Hazira!$C$22,IF($J$2&lt;=30000,Hazira!$C$23,Hazira!$C$24))</f>
        <v>800</v>
      </c>
      <c r="I55">
        <f>IF($J$2&lt;=10000,Hazira!$D$22,IF($J$2&lt;30000,Hazira!$D$23,Hazira!$D$24))</f>
        <v>0</v>
      </c>
      <c r="J55" t="s">
        <v>16</v>
      </c>
    </row>
    <row r="56" spans="2:10">
      <c r="B56" t="s">
        <v>183</v>
      </c>
      <c r="C56" t="s">
        <v>372</v>
      </c>
      <c r="D56" t="s">
        <v>102</v>
      </c>
      <c r="E56" t="s">
        <v>103</v>
      </c>
      <c r="F56" t="s">
        <v>0</v>
      </c>
      <c r="G56" s="28" t="str">
        <f>Table137[[#This Row],[PORT]]&amp;Table137[[#This Row],[VESSEL TYPE]]&amp;Table137[[#This Row],[VESSEL RUN]]&amp;Table137[[#This Row],[SERVICE]]</f>
        <v>KRISHNAPTNMCONTAINERFOREIGNPort Dues</v>
      </c>
      <c r="H56">
        <f>Krishnapattnam!C3</f>
        <v>6.5060999999999994E-2</v>
      </c>
      <c r="I56">
        <f>Krishnapattnam!D3</f>
        <v>500</v>
      </c>
      <c r="J56" t="s">
        <v>16</v>
      </c>
    </row>
    <row r="57" spans="2:10">
      <c r="B57" t="s">
        <v>183</v>
      </c>
      <c r="C57" t="s">
        <v>372</v>
      </c>
      <c r="D57" t="s">
        <v>102</v>
      </c>
      <c r="E57" t="s">
        <v>103</v>
      </c>
      <c r="F57" t="s">
        <v>3</v>
      </c>
      <c r="G57" s="28" t="str">
        <f>Table137[[#This Row],[PORT]]&amp;Table137[[#This Row],[VESSEL TYPE]]&amp;Table137[[#This Row],[VESSEL RUN]]&amp;Table137[[#This Row],[SERVICE]]</f>
        <v>KRISHNAPTNMCONTAINERFOREIGNPilotage</v>
      </c>
      <c r="H57">
        <f>IF($J$2&lt;=35000,Krishnapattnam!C6,IF($J$2&lt;=45000,Krishnapattnam!C7,Krishnapattnam!C8))</f>
        <v>1.526</v>
      </c>
      <c r="I57">
        <v>0</v>
      </c>
      <c r="J57" t="s">
        <v>16</v>
      </c>
    </row>
    <row r="58" spans="2:10">
      <c r="B58" t="s">
        <v>183</v>
      </c>
      <c r="C58" t="s">
        <v>372</v>
      </c>
      <c r="D58" t="s">
        <v>102</v>
      </c>
      <c r="E58" t="s">
        <v>103</v>
      </c>
      <c r="F58" t="s">
        <v>7</v>
      </c>
      <c r="G58" s="28" t="str">
        <f>Table137[[#This Row],[PORT]]&amp;Table137[[#This Row],[VESSEL TYPE]]&amp;Table137[[#This Row],[VESSEL RUN]]&amp;Table137[[#This Row],[SERVICE]]</f>
        <v>KRISHNAPTNMCONTAINERFOREIGNBerth Hire</v>
      </c>
      <c r="H58">
        <f>Krishnapattnam!C24</f>
        <v>5.0000000000000001E-3</v>
      </c>
      <c r="I58">
        <f>Krishnapattnam!D24</f>
        <v>500</v>
      </c>
      <c r="J58" t="s">
        <v>16</v>
      </c>
    </row>
    <row r="59" spans="2:10">
      <c r="B59" t="s">
        <v>183</v>
      </c>
      <c r="C59" t="s">
        <v>372</v>
      </c>
      <c r="D59" t="s">
        <v>102</v>
      </c>
      <c r="E59" t="s">
        <v>103</v>
      </c>
      <c r="F59" t="s">
        <v>4</v>
      </c>
      <c r="G59" s="28" t="str">
        <f>Table137[[#This Row],[PORT]]&amp;Table137[[#This Row],[VESSEL TYPE]]&amp;Table137[[#This Row],[VESSEL RUN]]&amp;Table137[[#This Row],[SERVICE]]</f>
        <v>KRISHNAPTNMCONTAINERFOREIGNMooring</v>
      </c>
      <c r="H59">
        <f>Krishnapattnam!C26</f>
        <v>3.4720000000000001E-2</v>
      </c>
      <c r="I59">
        <f>Krishnapattnam!D26</f>
        <v>200</v>
      </c>
      <c r="J59" t="s">
        <v>16</v>
      </c>
    </row>
    <row r="60" spans="2:10">
      <c r="B60" t="s">
        <v>183</v>
      </c>
      <c r="C60" t="s">
        <v>372</v>
      </c>
      <c r="D60" t="s">
        <v>102</v>
      </c>
      <c r="E60" t="s">
        <v>103</v>
      </c>
      <c r="F60" t="s">
        <v>343</v>
      </c>
      <c r="G60" s="28" t="str">
        <f>Table137[[#This Row],[PORT]]&amp;Table137[[#This Row],[VESSEL TYPE]]&amp;Table137[[#This Row],[VESSEL RUN]]&amp;Table137[[#This Row],[SERVICE]]</f>
        <v>KRISHNAPTNMCONTAINERFOREIGNPESP &amp; Dredging</v>
      </c>
      <c r="H60">
        <v>0</v>
      </c>
      <c r="I60">
        <v>0</v>
      </c>
      <c r="J60" t="s">
        <v>16</v>
      </c>
    </row>
    <row r="61" spans="2:10">
      <c r="B61" t="s">
        <v>183</v>
      </c>
      <c r="C61" t="s">
        <v>372</v>
      </c>
      <c r="D61" t="s">
        <v>102</v>
      </c>
      <c r="E61" t="s">
        <v>138</v>
      </c>
      <c r="F61" t="s">
        <v>0</v>
      </c>
      <c r="G61" s="28" t="str">
        <f>Table137[[#This Row],[PORT]]&amp;Table137[[#This Row],[VESSEL TYPE]]&amp;Table137[[#This Row],[VESSEL RUN]]&amp;Table137[[#This Row],[SERVICE]]</f>
        <v>KRISHNAPTNMCONTAINERCOASTALPort Dues</v>
      </c>
      <c r="H61">
        <f>Krishnapattnam!C3</f>
        <v>6.5060999999999994E-2</v>
      </c>
      <c r="I61">
        <f>Krishnapattnam!D3</f>
        <v>500</v>
      </c>
      <c r="J61" t="s">
        <v>16</v>
      </c>
    </row>
    <row r="62" spans="2:10">
      <c r="B62" t="s">
        <v>183</v>
      </c>
      <c r="C62" t="s">
        <v>372</v>
      </c>
      <c r="D62" t="s">
        <v>102</v>
      </c>
      <c r="E62" t="s">
        <v>138</v>
      </c>
      <c r="F62" t="s">
        <v>3</v>
      </c>
      <c r="G62" s="28" t="str">
        <f>Table137[[#This Row],[PORT]]&amp;Table137[[#This Row],[VESSEL TYPE]]&amp;Table137[[#This Row],[VESSEL RUN]]&amp;Table137[[#This Row],[SERVICE]]</f>
        <v>KRISHNAPTNMCONTAINERCOASTALPilotage</v>
      </c>
      <c r="H62">
        <f>IF($J$2&lt;=35000,Krishnapattnam!C6,IF($J$2&lt;=45000,Krishnapattnam!C7,Krishnapattnam!C8))</f>
        <v>1.526</v>
      </c>
      <c r="I62">
        <v>0</v>
      </c>
      <c r="J62" t="s">
        <v>16</v>
      </c>
    </row>
    <row r="63" spans="2:10">
      <c r="B63" t="s">
        <v>183</v>
      </c>
      <c r="C63" t="s">
        <v>372</v>
      </c>
      <c r="D63" t="s">
        <v>102</v>
      </c>
      <c r="E63" t="s">
        <v>138</v>
      </c>
      <c r="F63" t="s">
        <v>7</v>
      </c>
      <c r="G63" s="28" t="str">
        <f>Table137[[#This Row],[PORT]]&amp;Table137[[#This Row],[VESSEL TYPE]]&amp;Table137[[#This Row],[VESSEL RUN]]&amp;Table137[[#This Row],[SERVICE]]</f>
        <v>KRISHNAPTNMCONTAINERCOASTALBerth Hire</v>
      </c>
      <c r="H63">
        <f>Krishnapattnam!C24</f>
        <v>5.0000000000000001E-3</v>
      </c>
      <c r="I63">
        <f>Krishnapattnam!D24</f>
        <v>500</v>
      </c>
      <c r="J63" t="s">
        <v>16</v>
      </c>
    </row>
    <row r="64" spans="2:10">
      <c r="B64" t="s">
        <v>183</v>
      </c>
      <c r="C64" t="s">
        <v>372</v>
      </c>
      <c r="D64" t="s">
        <v>102</v>
      </c>
      <c r="E64" t="s">
        <v>138</v>
      </c>
      <c r="F64" t="s">
        <v>4</v>
      </c>
      <c r="G64" s="28" t="str">
        <f>Table137[[#This Row],[PORT]]&amp;Table137[[#This Row],[VESSEL TYPE]]&amp;Table137[[#This Row],[VESSEL RUN]]&amp;Table137[[#This Row],[SERVICE]]</f>
        <v>KRISHNAPTNMCONTAINERCOASTALMooring</v>
      </c>
      <c r="H64">
        <f>Krishnapattnam!C26</f>
        <v>3.4720000000000001E-2</v>
      </c>
      <c r="I64">
        <f>Krishnapattnam!D26</f>
        <v>200</v>
      </c>
      <c r="J64" t="s">
        <v>16</v>
      </c>
    </row>
    <row r="65" spans="2:10">
      <c r="B65" t="s">
        <v>183</v>
      </c>
      <c r="C65" t="s">
        <v>372</v>
      </c>
      <c r="D65" t="s">
        <v>102</v>
      </c>
      <c r="E65" t="s">
        <v>138</v>
      </c>
      <c r="F65" t="s">
        <v>343</v>
      </c>
      <c r="G65" s="28" t="str">
        <f>Table137[[#This Row],[PORT]]&amp;Table137[[#This Row],[VESSEL TYPE]]&amp;Table137[[#This Row],[VESSEL RUN]]&amp;Table137[[#This Row],[SERVICE]]</f>
        <v>KRISHNAPTNMCONTAINERCOASTALPESP &amp; Dredging</v>
      </c>
      <c r="H65">
        <v>0</v>
      </c>
      <c r="I65">
        <v>0</v>
      </c>
      <c r="J65" t="s">
        <v>16</v>
      </c>
    </row>
    <row r="66" spans="2:10">
      <c r="B66" t="s">
        <v>183</v>
      </c>
      <c r="C66" t="s">
        <v>372</v>
      </c>
      <c r="D66" t="s">
        <v>355</v>
      </c>
      <c r="E66" t="s">
        <v>103</v>
      </c>
      <c r="F66" t="s">
        <v>0</v>
      </c>
      <c r="G66" s="28" t="str">
        <f>Table137[[#This Row],[PORT]]&amp;Table137[[#This Row],[VESSEL TYPE]]&amp;Table137[[#This Row],[VESSEL RUN]]&amp;Table137[[#This Row],[SERVICE]]</f>
        <v>KRISHNAPTNMDRY BULKFOREIGNPort Dues</v>
      </c>
      <c r="H66">
        <f>Krishnapattnam!$C$4</f>
        <v>0.2</v>
      </c>
      <c r="I66">
        <f>Krishnapattnam!$D$4</f>
        <v>500</v>
      </c>
      <c r="J66" t="s">
        <v>16</v>
      </c>
    </row>
    <row r="67" spans="2:10">
      <c r="B67" t="s">
        <v>183</v>
      </c>
      <c r="C67" t="s">
        <v>372</v>
      </c>
      <c r="D67" t="s">
        <v>355</v>
      </c>
      <c r="E67" t="s">
        <v>103</v>
      </c>
      <c r="F67" t="s">
        <v>3</v>
      </c>
      <c r="G67" s="28" t="str">
        <f>Table137[[#This Row],[PORT]]&amp;Table137[[#This Row],[VESSEL TYPE]]&amp;Table137[[#This Row],[VESSEL RUN]]&amp;Table137[[#This Row],[SERVICE]]</f>
        <v>KRISHNAPTNMDRY BULKFOREIGNPilotage</v>
      </c>
      <c r="H67">
        <f>IF($J$2&lt;=35000,Krishnapattnam!$C$6,IF($J$2&lt;=45000,Krishnapattnam!$C$7,Krishnapattnam!$C$8))</f>
        <v>1.526</v>
      </c>
      <c r="I67">
        <v>0</v>
      </c>
      <c r="J67" t="s">
        <v>16</v>
      </c>
    </row>
    <row r="68" spans="2:10">
      <c r="B68" t="s">
        <v>183</v>
      </c>
      <c r="C68" t="s">
        <v>372</v>
      </c>
      <c r="D68" t="s">
        <v>355</v>
      </c>
      <c r="E68" t="s">
        <v>103</v>
      </c>
      <c r="F68" t="s">
        <v>7</v>
      </c>
      <c r="G68" s="28" t="str">
        <f>Table137[[#This Row],[PORT]]&amp;Table137[[#This Row],[VESSEL TYPE]]&amp;Table137[[#This Row],[VESSEL RUN]]&amp;Table137[[#This Row],[SERVICE]]</f>
        <v>KRISHNAPTNMDRY BULKFOREIGNBerth Hire</v>
      </c>
      <c r="H68">
        <f>Krishnapattnam!$C$25</f>
        <v>0.01</v>
      </c>
      <c r="I68">
        <f>Krishnapattnam!$D$25</f>
        <v>500</v>
      </c>
      <c r="J68" t="s">
        <v>16</v>
      </c>
    </row>
    <row r="69" spans="2:10">
      <c r="B69" t="s">
        <v>183</v>
      </c>
      <c r="C69" t="s">
        <v>372</v>
      </c>
      <c r="D69" t="s">
        <v>355</v>
      </c>
      <c r="E69" t="s">
        <v>103</v>
      </c>
      <c r="F69" t="s">
        <v>4</v>
      </c>
      <c r="G69" s="28" t="str">
        <f>Table137[[#This Row],[PORT]]&amp;Table137[[#This Row],[VESSEL TYPE]]&amp;Table137[[#This Row],[VESSEL RUN]]&amp;Table137[[#This Row],[SERVICE]]</f>
        <v>KRISHNAPTNMDRY BULKFOREIGNMooring</v>
      </c>
      <c r="H69">
        <f>Krishnapattnam!$C$26</f>
        <v>3.4720000000000001E-2</v>
      </c>
      <c r="I69">
        <f>Krishnapattnam!$D$26</f>
        <v>200</v>
      </c>
      <c r="J69" t="s">
        <v>16</v>
      </c>
    </row>
    <row r="70" spans="2:10">
      <c r="B70" t="s">
        <v>183</v>
      </c>
      <c r="C70" t="s">
        <v>372</v>
      </c>
      <c r="D70" t="s">
        <v>355</v>
      </c>
      <c r="E70" t="s">
        <v>103</v>
      </c>
      <c r="F70" t="s">
        <v>343</v>
      </c>
      <c r="G70" s="28" t="str">
        <f>Table137[[#This Row],[PORT]]&amp;Table137[[#This Row],[VESSEL TYPE]]&amp;Table137[[#This Row],[VESSEL RUN]]&amp;Table137[[#This Row],[SERVICE]]</f>
        <v>KRISHNAPTNMDRY BULKFOREIGNPESP &amp; Dredging</v>
      </c>
      <c r="H70">
        <f>Krishnapattnam!$C$27</f>
        <v>2.6270999999999999E-2</v>
      </c>
      <c r="I70">
        <f>Krishnapattnam!$D$27</f>
        <v>0</v>
      </c>
      <c r="J70" t="str">
        <f>Krishnapattnam!$E$27</f>
        <v>USD</v>
      </c>
    </row>
    <row r="71" spans="2:10">
      <c r="B71" t="s">
        <v>183</v>
      </c>
      <c r="C71" t="s">
        <v>372</v>
      </c>
      <c r="D71" t="s">
        <v>355</v>
      </c>
      <c r="E71" t="s">
        <v>138</v>
      </c>
      <c r="F71" t="s">
        <v>0</v>
      </c>
      <c r="G71" s="28" t="str">
        <f>Table137[[#This Row],[PORT]]&amp;Table137[[#This Row],[VESSEL TYPE]]&amp;Table137[[#This Row],[VESSEL RUN]]&amp;Table137[[#This Row],[SERVICE]]</f>
        <v>KRISHNAPTNMDRY BULKCOASTALPort Dues</v>
      </c>
      <c r="H71">
        <f>Krishnapattnam!$C$5</f>
        <v>0.09</v>
      </c>
      <c r="I71">
        <f>Krishnapattnam!$D$5</f>
        <v>500</v>
      </c>
      <c r="J71" t="s">
        <v>16</v>
      </c>
    </row>
    <row r="72" spans="2:10">
      <c r="B72" t="s">
        <v>183</v>
      </c>
      <c r="C72" t="s">
        <v>372</v>
      </c>
      <c r="D72" t="s">
        <v>355</v>
      </c>
      <c r="E72" t="s">
        <v>138</v>
      </c>
      <c r="F72" t="s">
        <v>3</v>
      </c>
      <c r="G72" s="28" t="str">
        <f>Table137[[#This Row],[PORT]]&amp;Table137[[#This Row],[VESSEL TYPE]]&amp;Table137[[#This Row],[VESSEL RUN]]&amp;Table137[[#This Row],[SERVICE]]</f>
        <v>KRISHNAPTNMDRY BULKCOASTALPilotage</v>
      </c>
      <c r="H72">
        <f>IF($J$2&lt;=35000,Krishnapattnam!$C$6,IF($J$2&lt;=45000,Krishnapattnam!$C$7,Krishnapattnam!$C$8))</f>
        <v>1.526</v>
      </c>
      <c r="I72">
        <v>0</v>
      </c>
      <c r="J72" t="s">
        <v>16</v>
      </c>
    </row>
    <row r="73" spans="2:10">
      <c r="B73" t="s">
        <v>183</v>
      </c>
      <c r="C73" t="s">
        <v>372</v>
      </c>
      <c r="D73" t="s">
        <v>355</v>
      </c>
      <c r="E73" t="s">
        <v>138</v>
      </c>
      <c r="F73" t="s">
        <v>7</v>
      </c>
      <c r="G73" s="28" t="str">
        <f>Table137[[#This Row],[PORT]]&amp;Table137[[#This Row],[VESSEL TYPE]]&amp;Table137[[#This Row],[VESSEL RUN]]&amp;Table137[[#This Row],[SERVICE]]</f>
        <v>KRISHNAPTNMDRY BULKCOASTALBerth Hire</v>
      </c>
      <c r="H73">
        <f>Krishnapattnam!$C$25</f>
        <v>0.01</v>
      </c>
      <c r="I73">
        <f>Krishnapattnam!$D$25</f>
        <v>500</v>
      </c>
      <c r="J73" t="s">
        <v>16</v>
      </c>
    </row>
    <row r="74" spans="2:10">
      <c r="B74" t="s">
        <v>183</v>
      </c>
      <c r="C74" t="s">
        <v>372</v>
      </c>
      <c r="D74" t="s">
        <v>355</v>
      </c>
      <c r="E74" t="s">
        <v>138</v>
      </c>
      <c r="F74" t="s">
        <v>4</v>
      </c>
      <c r="G74" s="28" t="str">
        <f>Table137[[#This Row],[PORT]]&amp;Table137[[#This Row],[VESSEL TYPE]]&amp;Table137[[#This Row],[VESSEL RUN]]&amp;Table137[[#This Row],[SERVICE]]</f>
        <v>KRISHNAPTNMDRY BULKCOASTALMooring</v>
      </c>
      <c r="H74">
        <f>Krishnapattnam!$C$26</f>
        <v>3.4720000000000001E-2</v>
      </c>
      <c r="I74">
        <f>Krishnapattnam!$D$26</f>
        <v>200</v>
      </c>
      <c r="J74" t="s">
        <v>16</v>
      </c>
    </row>
    <row r="75" spans="2:10">
      <c r="B75" t="s">
        <v>183</v>
      </c>
      <c r="C75" t="s">
        <v>372</v>
      </c>
      <c r="D75" t="s">
        <v>355</v>
      </c>
      <c r="E75" t="s">
        <v>138</v>
      </c>
      <c r="F75" t="s">
        <v>343</v>
      </c>
      <c r="G75" s="28" t="str">
        <f>Table137[[#This Row],[PORT]]&amp;Table137[[#This Row],[VESSEL TYPE]]&amp;Table137[[#This Row],[VESSEL RUN]]&amp;Table137[[#This Row],[SERVICE]]</f>
        <v>KRISHNAPTNMDRY BULKCOASTALPESP &amp; Dredging</v>
      </c>
      <c r="H75">
        <f>Krishnapattnam!$C$27</f>
        <v>2.6270999999999999E-2</v>
      </c>
      <c r="I75">
        <f>Krishnapattnam!$D$27</f>
        <v>0</v>
      </c>
      <c r="J75" t="str">
        <f>Krishnapattnam!$E$27</f>
        <v>USD</v>
      </c>
    </row>
    <row r="76" spans="2:10">
      <c r="B76" t="s">
        <v>183</v>
      </c>
      <c r="C76" t="s">
        <v>97</v>
      </c>
      <c r="D76" t="s">
        <v>355</v>
      </c>
      <c r="E76" t="s">
        <v>103</v>
      </c>
      <c r="F76" t="s">
        <v>0</v>
      </c>
      <c r="G76" s="28" t="str">
        <f>Table137[[#This Row],[PORT]]&amp;Table137[[#This Row],[VESSEL TYPE]]&amp;Table137[[#This Row],[VESSEL RUN]]&amp;Table137[[#This Row],[SERVICE]]</f>
        <v>DIGHIDRY BULKFOREIGNPort Dues</v>
      </c>
      <c r="H76">
        <f>Dighi!$C$3</f>
        <v>6.3500000000000001E-2</v>
      </c>
      <c r="I76">
        <f>Dighi!$D$3</f>
        <v>375</v>
      </c>
      <c r="J76" t="str">
        <f>Dighi!$E$3</f>
        <v>USD</v>
      </c>
    </row>
    <row r="77" spans="2:10">
      <c r="B77" t="s">
        <v>183</v>
      </c>
      <c r="C77" t="s">
        <v>97</v>
      </c>
      <c r="D77" t="s">
        <v>355</v>
      </c>
      <c r="E77" t="s">
        <v>103</v>
      </c>
      <c r="F77" t="s">
        <v>3</v>
      </c>
      <c r="G77" s="28" t="str">
        <f>Table137[[#This Row],[PORT]]&amp;Table137[[#This Row],[VESSEL TYPE]]&amp;Table137[[#This Row],[VESSEL RUN]]&amp;Table137[[#This Row],[SERVICE]]</f>
        <v>DIGHIDRY BULKFOREIGNPilotage</v>
      </c>
      <c r="H77">
        <f>Dighi!C6</f>
        <v>1.3150999999999999</v>
      </c>
      <c r="I77">
        <f>IF(J2&lt;=3000,Dighi!D6,IF(J2&lt;=15000,Dighi!D7,Dighi!D8))</f>
        <v>16295</v>
      </c>
      <c r="J77" t="str">
        <f>Dighi!$E$6</f>
        <v>USD</v>
      </c>
    </row>
    <row r="78" spans="2:10">
      <c r="B78" t="s">
        <v>183</v>
      </c>
      <c r="C78" t="s">
        <v>97</v>
      </c>
      <c r="D78" t="s">
        <v>355</v>
      </c>
      <c r="E78" t="s">
        <v>103</v>
      </c>
      <c r="F78" t="s">
        <v>7</v>
      </c>
      <c r="G78" s="28" t="str">
        <f>Table137[[#This Row],[PORT]]&amp;Table137[[#This Row],[VESSEL TYPE]]&amp;Table137[[#This Row],[VESSEL RUN]]&amp;Table137[[#This Row],[SERVICE]]</f>
        <v>DIGHIDRY BULKFOREIGNBerth Hire</v>
      </c>
      <c r="H78">
        <f>Dighi!$C$23</f>
        <v>8.5000000000000006E-3</v>
      </c>
      <c r="I78">
        <f>Dighi!$D$23</f>
        <v>495</v>
      </c>
      <c r="J78" t="str">
        <f>Dighi!$E$23</f>
        <v>USD</v>
      </c>
    </row>
    <row r="79" spans="2:10">
      <c r="B79" t="s">
        <v>183</v>
      </c>
      <c r="C79" t="s">
        <v>97</v>
      </c>
      <c r="D79" t="s">
        <v>355</v>
      </c>
      <c r="E79" t="s">
        <v>103</v>
      </c>
      <c r="F79" t="s">
        <v>4</v>
      </c>
      <c r="G79" s="28" t="str">
        <f>Table137[[#This Row],[PORT]]&amp;Table137[[#This Row],[VESSEL TYPE]]&amp;Table137[[#This Row],[VESSEL RUN]]&amp;Table137[[#This Row],[SERVICE]]</f>
        <v>DIGHIDRY BULKFOREIGNMooring</v>
      </c>
      <c r="H79">
        <f>Dighi!$C$24</f>
        <v>0.1736</v>
      </c>
      <c r="I79">
        <f>Dighi!$D$24</f>
        <v>200</v>
      </c>
      <c r="J79" t="str">
        <f>Dighi!$E$24</f>
        <v>USD</v>
      </c>
    </row>
    <row r="80" spans="2:10">
      <c r="B80" t="s">
        <v>183</v>
      </c>
      <c r="C80" t="s">
        <v>97</v>
      </c>
      <c r="D80" t="s">
        <v>355</v>
      </c>
      <c r="E80" t="s">
        <v>103</v>
      </c>
      <c r="F80" t="s">
        <v>343</v>
      </c>
      <c r="G80" s="28" t="str">
        <f>Table137[[#This Row],[PORT]]&amp;Table137[[#This Row],[VESSEL TYPE]]&amp;Table137[[#This Row],[VESSEL RUN]]&amp;Table137[[#This Row],[SERVICE]]</f>
        <v>DIGHIDRY BULKFOREIGNPESP &amp; Dredging</v>
      </c>
      <c r="H80">
        <f>IF($J$2&lt;=10000,Dighi!$C$25,IF($J$2&lt;=30000,Dighi!$C$26,Dighi!$C$27))</f>
        <v>800</v>
      </c>
      <c r="I80">
        <f>Dighi!$D$25</f>
        <v>0</v>
      </c>
      <c r="J80" t="str">
        <f>Dighi!$E$25</f>
        <v>USD</v>
      </c>
    </row>
    <row r="81" spans="2:10">
      <c r="B81" t="s">
        <v>184</v>
      </c>
      <c r="C81" t="s">
        <v>98</v>
      </c>
      <c r="D81" t="s">
        <v>355</v>
      </c>
      <c r="E81" t="s">
        <v>103</v>
      </c>
      <c r="F81" t="s">
        <v>7</v>
      </c>
      <c r="G81" s="28" t="str">
        <f>Table137[[#This Row],[PORT]]&amp;Table137[[#This Row],[VESSEL TYPE]]&amp;Table137[[#This Row],[VESSEL RUN]]&amp;Table137[[#This Row],[SERVICE]]</f>
        <v>TUNADRY BULKFOREIGNBerth Hire</v>
      </c>
      <c r="H81">
        <f>Tuna!$C$3</f>
        <v>0.75</v>
      </c>
      <c r="I81">
        <f>Tuna!$D$3</f>
        <v>0</v>
      </c>
      <c r="J81" t="str">
        <f>Tuna!$E$3</f>
        <v>INR</v>
      </c>
    </row>
    <row r="82" spans="2:10">
      <c r="B82" t="s">
        <v>184</v>
      </c>
      <c r="C82" t="s">
        <v>99</v>
      </c>
      <c r="D82" t="s">
        <v>355</v>
      </c>
      <c r="E82" t="s">
        <v>103</v>
      </c>
      <c r="F82" t="s">
        <v>7</v>
      </c>
      <c r="G82" s="28" t="str">
        <f>Table137[[#This Row],[PORT]]&amp;Table137[[#This Row],[VESSEL TYPE]]&amp;Table137[[#This Row],[VESSEL RUN]]&amp;Table137[[#This Row],[SERVICE]]</f>
        <v>GOADRY BULKFOREIGNBerth Hire</v>
      </c>
      <c r="H82">
        <f>Goa!$C$3</f>
        <v>0.8</v>
      </c>
      <c r="I82">
        <f>Goa!$D$3</f>
        <v>0</v>
      </c>
      <c r="J82" t="str">
        <f>Goa!$E$3</f>
        <v>INR</v>
      </c>
    </row>
    <row r="83" spans="2:10">
      <c r="B83" t="s">
        <v>184</v>
      </c>
      <c r="C83" t="s">
        <v>100</v>
      </c>
      <c r="D83" t="s">
        <v>102</v>
      </c>
      <c r="E83" t="s">
        <v>103</v>
      </c>
      <c r="F83" t="s">
        <v>7</v>
      </c>
      <c r="G83" s="28" t="str">
        <f>Table137[[#This Row],[PORT]]&amp;Table137[[#This Row],[VESSEL TYPE]]&amp;Table137[[#This Row],[VESSEL RUN]]&amp;Table137[[#This Row],[SERVICE]]</f>
        <v>ENNORECONTAINERFOREIGNBerth Hire</v>
      </c>
      <c r="H83">
        <f>Ennore!C3</f>
        <v>2.01E-2</v>
      </c>
      <c r="I83">
        <f>Ennore!D3</f>
        <v>0</v>
      </c>
      <c r="J83" t="str">
        <f>Ennore!E3</f>
        <v>USD</v>
      </c>
    </row>
    <row r="84" spans="2:10">
      <c r="B84" t="s">
        <v>183</v>
      </c>
      <c r="C84" t="s">
        <v>372</v>
      </c>
      <c r="D84" t="s">
        <v>373</v>
      </c>
      <c r="E84" t="s">
        <v>103</v>
      </c>
      <c r="F84" t="s">
        <v>0</v>
      </c>
      <c r="G84" s="28" t="str">
        <f>Table137[[#This Row],[PORT]]&amp;Table137[[#This Row],[VESSEL TYPE]]&amp;Table137[[#This Row],[VESSEL RUN]]&amp;Table137[[#This Row],[SERVICE]]</f>
        <v>KRISHNAPTNMBREAK BULKFOREIGNPort Dues</v>
      </c>
      <c r="H84">
        <f>Krishnapattnam!$C$3</f>
        <v>6.5060999999999994E-2</v>
      </c>
      <c r="I84">
        <f>Krishnapattnam!D3</f>
        <v>500</v>
      </c>
      <c r="J84" t="s">
        <v>16</v>
      </c>
    </row>
    <row r="85" spans="2:10">
      <c r="B85" t="s">
        <v>183</v>
      </c>
      <c r="C85" t="s">
        <v>372</v>
      </c>
      <c r="D85" t="s">
        <v>373</v>
      </c>
      <c r="E85" t="s">
        <v>103</v>
      </c>
      <c r="F85" t="s">
        <v>3</v>
      </c>
      <c r="G85" s="28" t="str">
        <f>Table137[[#This Row],[PORT]]&amp;Table137[[#This Row],[VESSEL TYPE]]&amp;Table137[[#This Row],[VESSEL RUN]]&amp;Table137[[#This Row],[SERVICE]]</f>
        <v>KRISHNAPTNMBREAK BULKFOREIGNPilotage</v>
      </c>
      <c r="H85">
        <f>IF($J$2&lt;=35000,Krishnapattnam!$C$6,IF($J$2&lt;=45000,Krishnapattnam!$C$7,Krishnapattnam!$C$8))</f>
        <v>1.526</v>
      </c>
      <c r="I85">
        <v>0</v>
      </c>
      <c r="J85" t="s">
        <v>16</v>
      </c>
    </row>
    <row r="86" spans="2:10">
      <c r="B86" t="s">
        <v>183</v>
      </c>
      <c r="C86" t="s">
        <v>372</v>
      </c>
      <c r="D86" t="s">
        <v>373</v>
      </c>
      <c r="E86" t="s">
        <v>103</v>
      </c>
      <c r="F86" t="s">
        <v>7</v>
      </c>
      <c r="G86" s="28" t="str">
        <f>Table137[[#This Row],[PORT]]&amp;Table137[[#This Row],[VESSEL TYPE]]&amp;Table137[[#This Row],[VESSEL RUN]]&amp;Table137[[#This Row],[SERVICE]]</f>
        <v>KRISHNAPTNMBREAK BULKFOREIGNBerth Hire</v>
      </c>
      <c r="H86">
        <f>Krishnapattnam!$C$24</f>
        <v>5.0000000000000001E-3</v>
      </c>
      <c r="I86">
        <f>Krishnapattnam!D24</f>
        <v>500</v>
      </c>
      <c r="J86" t="s">
        <v>16</v>
      </c>
    </row>
    <row r="87" spans="2:10">
      <c r="B87" t="s">
        <v>183</v>
      </c>
      <c r="C87" t="s">
        <v>372</v>
      </c>
      <c r="D87" t="s">
        <v>373</v>
      </c>
      <c r="E87" t="s">
        <v>103</v>
      </c>
      <c r="F87" t="s">
        <v>4</v>
      </c>
      <c r="G87" s="28" t="str">
        <f>Table137[[#This Row],[PORT]]&amp;Table137[[#This Row],[VESSEL TYPE]]&amp;Table137[[#This Row],[VESSEL RUN]]&amp;Table137[[#This Row],[SERVICE]]</f>
        <v>KRISHNAPTNMBREAK BULKFOREIGNMooring</v>
      </c>
      <c r="H87">
        <f>Krishnapattnam!$C$26</f>
        <v>3.4720000000000001E-2</v>
      </c>
      <c r="I87">
        <f>Krishnapattnam!D26</f>
        <v>200</v>
      </c>
      <c r="J87" t="s">
        <v>16</v>
      </c>
    </row>
    <row r="88" spans="2:10">
      <c r="B88" t="s">
        <v>183</v>
      </c>
      <c r="C88" t="s">
        <v>372</v>
      </c>
      <c r="D88" t="s">
        <v>373</v>
      </c>
      <c r="E88" t="s">
        <v>103</v>
      </c>
      <c r="F88" t="s">
        <v>343</v>
      </c>
      <c r="G88" s="28" t="str">
        <f>Table137[[#This Row],[PORT]]&amp;Table137[[#This Row],[VESSEL TYPE]]&amp;Table137[[#This Row],[VESSEL RUN]]&amp;Table137[[#This Row],[SERVICE]]</f>
        <v>KRISHNAPTNMBREAK BULKFOREIGNPESP &amp; Dredging</v>
      </c>
      <c r="H88">
        <f>Krishnapattnam!$C$27</f>
        <v>2.6270999999999999E-2</v>
      </c>
      <c r="I88">
        <f>Krishnapattnam!$D$27</f>
        <v>0</v>
      </c>
      <c r="J88" t="str">
        <f>Krishnapattnam!$E$27</f>
        <v>USD</v>
      </c>
    </row>
    <row r="89" spans="2:10">
      <c r="B89" t="s">
        <v>183</v>
      </c>
      <c r="C89" t="s">
        <v>372</v>
      </c>
      <c r="D89" t="s">
        <v>373</v>
      </c>
      <c r="E89" t="s">
        <v>138</v>
      </c>
      <c r="F89" t="s">
        <v>0</v>
      </c>
      <c r="G89" s="28" t="str">
        <f>Table137[[#This Row],[PORT]]&amp;Table137[[#This Row],[VESSEL TYPE]]&amp;Table137[[#This Row],[VESSEL RUN]]&amp;Table137[[#This Row],[SERVICE]]</f>
        <v>KRISHNAPTNMBREAK BULKCOASTALPort Dues</v>
      </c>
      <c r="H89">
        <f>Krishnapattnam!$C$3</f>
        <v>6.5060999999999994E-2</v>
      </c>
      <c r="I89">
        <f>Krishnapattnam!D3</f>
        <v>500</v>
      </c>
      <c r="J89" t="s">
        <v>16</v>
      </c>
    </row>
    <row r="90" spans="2:10">
      <c r="B90" t="s">
        <v>183</v>
      </c>
      <c r="C90" t="s">
        <v>372</v>
      </c>
      <c r="D90" t="s">
        <v>373</v>
      </c>
      <c r="E90" t="s">
        <v>138</v>
      </c>
      <c r="F90" t="s">
        <v>3</v>
      </c>
      <c r="G90" s="28" t="str">
        <f>Table137[[#This Row],[PORT]]&amp;Table137[[#This Row],[VESSEL TYPE]]&amp;Table137[[#This Row],[VESSEL RUN]]&amp;Table137[[#This Row],[SERVICE]]</f>
        <v>KRISHNAPTNMBREAK BULKCOASTALPilotage</v>
      </c>
      <c r="H90">
        <f>IF($J$2&lt;=35000,Krishnapattnam!$C$6,IF($J$2&lt;=45000,Krishnapattnam!$C$7,Krishnapattnam!$C$8))</f>
        <v>1.526</v>
      </c>
      <c r="I90">
        <v>0</v>
      </c>
      <c r="J90" t="s">
        <v>16</v>
      </c>
    </row>
    <row r="91" spans="2:10">
      <c r="B91" t="s">
        <v>183</v>
      </c>
      <c r="C91" t="s">
        <v>372</v>
      </c>
      <c r="D91" t="s">
        <v>373</v>
      </c>
      <c r="E91" t="s">
        <v>138</v>
      </c>
      <c r="F91" t="s">
        <v>7</v>
      </c>
      <c r="G91" s="28" t="str">
        <f>Table137[[#This Row],[PORT]]&amp;Table137[[#This Row],[VESSEL TYPE]]&amp;Table137[[#This Row],[VESSEL RUN]]&amp;Table137[[#This Row],[SERVICE]]</f>
        <v>KRISHNAPTNMBREAK BULKCOASTALBerth Hire</v>
      </c>
      <c r="H91">
        <f>Krishnapattnam!$C$24</f>
        <v>5.0000000000000001E-3</v>
      </c>
      <c r="I91">
        <f>Krishnapattnam!D24</f>
        <v>500</v>
      </c>
      <c r="J91" t="s">
        <v>16</v>
      </c>
    </row>
    <row r="92" spans="2:10">
      <c r="B92" t="s">
        <v>183</v>
      </c>
      <c r="C92" t="s">
        <v>372</v>
      </c>
      <c r="D92" t="s">
        <v>373</v>
      </c>
      <c r="E92" t="s">
        <v>138</v>
      </c>
      <c r="F92" t="s">
        <v>4</v>
      </c>
      <c r="G92" s="28" t="str">
        <f>Table137[[#This Row],[PORT]]&amp;Table137[[#This Row],[VESSEL TYPE]]&amp;Table137[[#This Row],[VESSEL RUN]]&amp;Table137[[#This Row],[SERVICE]]</f>
        <v>KRISHNAPTNMBREAK BULKCOASTALMooring</v>
      </c>
      <c r="H92">
        <f>Krishnapattnam!$C$26</f>
        <v>3.4720000000000001E-2</v>
      </c>
      <c r="I92">
        <f>Krishnapattnam!D26</f>
        <v>200</v>
      </c>
      <c r="J92" t="s">
        <v>16</v>
      </c>
    </row>
    <row r="93" spans="2:10">
      <c r="B93" t="s">
        <v>183</v>
      </c>
      <c r="C93" t="s">
        <v>372</v>
      </c>
      <c r="D93" t="s">
        <v>373</v>
      </c>
      <c r="E93" t="s">
        <v>138</v>
      </c>
      <c r="F93" t="s">
        <v>343</v>
      </c>
      <c r="G93" s="28" t="str">
        <f>Table137[[#This Row],[PORT]]&amp;Table137[[#This Row],[VESSEL TYPE]]&amp;Table137[[#This Row],[VESSEL RUN]]&amp;Table137[[#This Row],[SERVICE]]</f>
        <v>KRISHNAPTNMBREAK BULKCOASTALPESP &amp; Dredging</v>
      </c>
      <c r="H93">
        <f>Krishnapattnam!$C$27</f>
        <v>2.6270999999999999E-2</v>
      </c>
      <c r="I93">
        <f>Krishnapattnam!$D$27</f>
        <v>0</v>
      </c>
      <c r="J93" t="str">
        <f>Krishnapattnam!$E$27</f>
        <v>USD</v>
      </c>
    </row>
    <row r="94" spans="2:10">
      <c r="B94" t="s">
        <v>183</v>
      </c>
      <c r="C94" t="s">
        <v>372</v>
      </c>
      <c r="D94" t="s">
        <v>102</v>
      </c>
      <c r="E94" t="s">
        <v>103</v>
      </c>
      <c r="F94" t="s">
        <v>351</v>
      </c>
      <c r="G94" s="28" t="str">
        <f>Table137[[#This Row],[PORT]]&amp;Table137[[#This Row],[VESSEL TYPE]]&amp;Table137[[#This Row],[VESSEL RUN]]&amp;Table137[[#This Row],[SERVICE]]</f>
        <v>KRISHNAPTNMCONTAINERFOREIGNSustainability</v>
      </c>
      <c r="H94">
        <f>Krishnapattnam!$C$33</f>
        <v>0.115</v>
      </c>
      <c r="I94">
        <f>Krishnapattnam!$D$33</f>
        <v>0</v>
      </c>
      <c r="J94" t="str">
        <f>Krishnapattnam!$E$33</f>
        <v>USD</v>
      </c>
    </row>
    <row r="95" spans="2:10">
      <c r="B95" t="s">
        <v>183</v>
      </c>
      <c r="C95" t="s">
        <v>372</v>
      </c>
      <c r="D95" t="s">
        <v>102</v>
      </c>
      <c r="E95" t="s">
        <v>138</v>
      </c>
      <c r="F95" t="s">
        <v>351</v>
      </c>
      <c r="G95" s="28" t="str">
        <f>Table137[[#This Row],[PORT]]&amp;Table137[[#This Row],[VESSEL TYPE]]&amp;Table137[[#This Row],[VESSEL RUN]]&amp;Table137[[#This Row],[SERVICE]]</f>
        <v>KRISHNAPTNMCONTAINERCOASTALSustainability</v>
      </c>
      <c r="H95">
        <f>Krishnapattnam!$C$33</f>
        <v>0.115</v>
      </c>
      <c r="I95">
        <f>Krishnapattnam!$D$33</f>
        <v>0</v>
      </c>
      <c r="J95" t="str">
        <f>Krishnapattnam!$E$33</f>
        <v>USD</v>
      </c>
    </row>
    <row r="96" spans="2:10">
      <c r="B96" t="s">
        <v>183</v>
      </c>
      <c r="C96" t="s">
        <v>353</v>
      </c>
      <c r="D96" t="s">
        <v>355</v>
      </c>
      <c r="E96" t="s">
        <v>103</v>
      </c>
      <c r="F96" t="s">
        <v>0</v>
      </c>
      <c r="G96" s="28" t="str">
        <f>Table137[[#This Row],[PORT]]&amp;Table137[[#This Row],[VESSEL TYPE]]&amp;Table137[[#This Row],[VESSEL RUN]]&amp;Table137[[#This Row],[SERVICE]]</f>
        <v>GANGAVARAMDRY BULKFOREIGNPort Dues</v>
      </c>
      <c r="H96">
        <f>IF($J$2&lt;=45000,GPL!$C$3,GPL!$C$4)</f>
        <v>0.154</v>
      </c>
      <c r="I96">
        <f>IF($J$2&lt;=45000,GPL!$D$3,GPL!$D$4)</f>
        <v>700</v>
      </c>
      <c r="J96" t="str">
        <f>GPL!$E$3</f>
        <v>USD</v>
      </c>
    </row>
    <row r="97" spans="2:10">
      <c r="B97" t="s">
        <v>183</v>
      </c>
      <c r="C97" t="s">
        <v>353</v>
      </c>
      <c r="D97" t="s">
        <v>355</v>
      </c>
      <c r="E97" t="s">
        <v>103</v>
      </c>
      <c r="F97" t="s">
        <v>3</v>
      </c>
      <c r="G97" s="28" t="str">
        <f>Table137[[#This Row],[PORT]]&amp;Table137[[#This Row],[VESSEL TYPE]]&amp;Table137[[#This Row],[VESSEL RUN]]&amp;Table137[[#This Row],[SERVICE]]</f>
        <v>GANGAVARAMDRY BULKFOREIGNPilotage</v>
      </c>
      <c r="H97">
        <f>IF($J$2&lt;=45000,GPL!$C$5,GPL!$C$6)</f>
        <v>1.5109999999999999</v>
      </c>
      <c r="I97">
        <f>IF($J$2&lt;=5000,GPL!$D$5,IF($J$2&lt;=10000,GPL!$D$6,IF($J$2&lt;=15000,GPL!$D$7,GPL!$D$8)))</f>
        <v>15750</v>
      </c>
      <c r="J97" t="str">
        <f>GPL!$E$6</f>
        <v>USD</v>
      </c>
    </row>
    <row r="98" spans="2:10">
      <c r="B98" t="s">
        <v>183</v>
      </c>
      <c r="C98" t="s">
        <v>353</v>
      </c>
      <c r="D98" t="s">
        <v>355</v>
      </c>
      <c r="E98" t="s">
        <v>103</v>
      </c>
      <c r="F98" t="s">
        <v>7</v>
      </c>
      <c r="G98" s="28" t="str">
        <f>Table137[[#This Row],[PORT]]&amp;Table137[[#This Row],[VESSEL TYPE]]&amp;Table137[[#This Row],[VESSEL RUN]]&amp;Table137[[#This Row],[SERVICE]]</f>
        <v>GANGAVARAMDRY BULKFOREIGNBerth Hire</v>
      </c>
      <c r="H98">
        <f>IF($J$2&lt;=45000,GPL!$C$9,GPL!$C$10)</f>
        <v>1.2999999999999999E-2</v>
      </c>
      <c r="I98">
        <f>IF($J$2&lt;=45000,GPL!$D$9,GPL!$D$10)</f>
        <v>900</v>
      </c>
      <c r="J98" t="s">
        <v>16</v>
      </c>
    </row>
    <row r="99" spans="2:10">
      <c r="B99" t="s">
        <v>183</v>
      </c>
      <c r="C99" t="s">
        <v>353</v>
      </c>
      <c r="D99" t="s">
        <v>355</v>
      </c>
      <c r="E99" t="s">
        <v>103</v>
      </c>
      <c r="F99" t="s">
        <v>4</v>
      </c>
      <c r="G99" s="28" t="str">
        <f>Table137[[#This Row],[PORT]]&amp;Table137[[#This Row],[VESSEL TYPE]]&amp;Table137[[#This Row],[VESSEL RUN]]&amp;Table137[[#This Row],[SERVICE]]</f>
        <v>GANGAVARAMDRY BULKFOREIGNMooring</v>
      </c>
      <c r="H99">
        <f>GPL!$C$11</f>
        <v>0.03</v>
      </c>
      <c r="I99">
        <f>GPL!$D$11</f>
        <v>200</v>
      </c>
      <c r="J99" t="str">
        <f>GPL!$E$11</f>
        <v>USD</v>
      </c>
    </row>
    <row r="100" spans="2:10">
      <c r="B100" t="s">
        <v>183</v>
      </c>
      <c r="C100" t="s">
        <v>353</v>
      </c>
      <c r="D100" t="s">
        <v>355</v>
      </c>
      <c r="E100" t="s">
        <v>103</v>
      </c>
      <c r="F100" t="s">
        <v>343</v>
      </c>
      <c r="G100" s="28" t="str">
        <f>Table137[[#This Row],[PORT]]&amp;Table137[[#This Row],[VESSEL TYPE]]&amp;Table137[[#This Row],[VESSEL RUN]]&amp;Table137[[#This Row],[SERVICE]]</f>
        <v>GANGAVARAMDRY BULKFOREIGNPESP &amp; Dredging</v>
      </c>
      <c r="H100">
        <f>IF($J$2&lt;=10000,GPL!C12,IF($J$2&lt;=30000,GPL!$C$13,GPL!$C$14))</f>
        <v>630</v>
      </c>
      <c r="I100">
        <f>GPL!$D$12</f>
        <v>0</v>
      </c>
      <c r="J100" t="s">
        <v>16</v>
      </c>
    </row>
    <row r="101" spans="2:10">
      <c r="B101" t="s">
        <v>183</v>
      </c>
      <c r="C101" t="s">
        <v>353</v>
      </c>
      <c r="D101" t="s">
        <v>355</v>
      </c>
      <c r="E101" t="s">
        <v>103</v>
      </c>
      <c r="F101" t="s">
        <v>351</v>
      </c>
      <c r="G101" s="28" t="str">
        <f>Table137[[#This Row],[PORT]]&amp;Table137[[#This Row],[VESSEL TYPE]]&amp;Table137[[#This Row],[VESSEL RUN]]&amp;Table137[[#This Row],[SERVICE]]</f>
        <v>GANGAVARAMDRY BULKFOREIGNSustainability</v>
      </c>
      <c r="H101">
        <f>GPL!$C$15</f>
        <v>5</v>
      </c>
      <c r="I101">
        <f>GPL!$D$15</f>
        <v>0</v>
      </c>
      <c r="J101" t="str">
        <f>GPL!$E$15</f>
        <v>INR</v>
      </c>
    </row>
    <row r="102" spans="2:10">
      <c r="B102" t="s">
        <v>183</v>
      </c>
      <c r="C102" t="s">
        <v>90</v>
      </c>
      <c r="D102" t="s">
        <v>102</v>
      </c>
      <c r="E102" t="s">
        <v>138</v>
      </c>
      <c r="F102" t="s">
        <v>3</v>
      </c>
      <c r="G102" s="28" t="str">
        <f>Table137[[#This Row],[PORT]]&amp;Table137[[#This Row],[VESSEL TYPE]]&amp;Table137[[#This Row],[VESSEL RUN]]&amp;Table137[[#This Row],[SERVICE]]</f>
        <v>KATTUPALLICONTAINERCOASTALPilotage</v>
      </c>
      <c r="H102">
        <f>IF($J$2&lt;=3000,Kattupalli!$C$11,IF('Tariff Master'!$J$2&lt;=10000,Kattupalli!$C$12,IF('Tariff Master'!$J$2&lt;=15000,Kattupalli!$C$13,IF('Tariff Master'!$J$2&lt;=30000,Kattupalli!$C$14,IF('Tariff Master'!$J$2&lt;=60000,Kattupalli!$C$15,Kattupalli!$C$16)))))</f>
        <v>22.35</v>
      </c>
      <c r="I102">
        <f>IF($J$2&lt;=3000,Kattupalli!$D$11,Kattupalli!$D$12)</f>
        <v>41889</v>
      </c>
      <c r="J102" t="str">
        <f>Kattupalli!$E$11</f>
        <v>INR</v>
      </c>
    </row>
    <row r="103" spans="2:10">
      <c r="B103" t="s">
        <v>183</v>
      </c>
      <c r="C103" t="s">
        <v>97</v>
      </c>
      <c r="D103" t="s">
        <v>369</v>
      </c>
      <c r="E103" t="s">
        <v>103</v>
      </c>
      <c r="F103" t="s">
        <v>0</v>
      </c>
      <c r="G103" s="28" t="str">
        <f>Table137[[#This Row],[PORT]]&amp;Table137[[#This Row],[VESSEL TYPE]]&amp;Table137[[#This Row],[VESSEL RUN]]&amp;Table137[[#This Row],[SERVICE]]</f>
        <v>DIGHIPOLFOREIGNPort Dues</v>
      </c>
      <c r="H103">
        <f>Dighi!$C$4</f>
        <v>6.8000000000000005E-2</v>
      </c>
      <c r="I103">
        <f>Dighi!$D$4</f>
        <v>475</v>
      </c>
      <c r="J103" t="str">
        <f>Dighi!$E$4</f>
        <v>USD</v>
      </c>
    </row>
    <row r="104" spans="2:10">
      <c r="B104" t="s">
        <v>183</v>
      </c>
      <c r="C104" t="s">
        <v>97</v>
      </c>
      <c r="D104" t="s">
        <v>369</v>
      </c>
      <c r="E104" t="s">
        <v>103</v>
      </c>
      <c r="F104" t="s">
        <v>3</v>
      </c>
      <c r="G104" s="28" t="str">
        <f>Table137[[#This Row],[PORT]]&amp;Table137[[#This Row],[VESSEL TYPE]]&amp;Table137[[#This Row],[VESSEL RUN]]&amp;Table137[[#This Row],[SERVICE]]</f>
        <v>DIGHIPOLFOREIGNPilotage</v>
      </c>
      <c r="H104">
        <f>Dighi!C13</f>
        <v>1.3952</v>
      </c>
      <c r="I104">
        <f>IF($J$2&lt;=3000,Dighi!D13,IF($J$2&lt;=15000,Dighi!D14,Dighi!D15))</f>
        <v>20680</v>
      </c>
      <c r="J104" t="str">
        <f>Dighi!$E$6</f>
        <v>USD</v>
      </c>
    </row>
    <row r="105" spans="2:10">
      <c r="B105" t="s">
        <v>183</v>
      </c>
      <c r="C105" t="s">
        <v>97</v>
      </c>
      <c r="D105" t="s">
        <v>369</v>
      </c>
      <c r="E105" t="s">
        <v>103</v>
      </c>
      <c r="F105" t="s">
        <v>7</v>
      </c>
      <c r="G105" s="28" t="str">
        <f>Table137[[#This Row],[PORT]]&amp;Table137[[#This Row],[VESSEL TYPE]]&amp;Table137[[#This Row],[VESSEL RUN]]&amp;Table137[[#This Row],[SERVICE]]</f>
        <v>DIGHIPOLFOREIGNBerth Hire</v>
      </c>
      <c r="H105">
        <f>IF($J$2&lt;=3000,Dighi!$C$20,IF($J$2&lt;=15000,Dighi!$C$21,Dighi!$C$22))</f>
        <v>0.13375000000000001</v>
      </c>
      <c r="I105">
        <f>IF($J$2&lt;=3000,Dighi!$D$20,IF($J$2&lt;=15000,Dighi!$D$21,Dighi!$D$22))</f>
        <v>630</v>
      </c>
      <c r="J105" t="str">
        <f>Dighi!$E$23</f>
        <v>USD</v>
      </c>
    </row>
    <row r="106" spans="2:10">
      <c r="B106" t="s">
        <v>183</v>
      </c>
      <c r="C106" t="s">
        <v>97</v>
      </c>
      <c r="D106" t="s">
        <v>369</v>
      </c>
      <c r="E106" t="s">
        <v>103</v>
      </c>
      <c r="F106" t="s">
        <v>4</v>
      </c>
      <c r="G106" s="28" t="str">
        <f>Table137[[#This Row],[PORT]]&amp;Table137[[#This Row],[VESSEL TYPE]]&amp;Table137[[#This Row],[VESSEL RUN]]&amp;Table137[[#This Row],[SERVICE]]</f>
        <v>DIGHIPOLFOREIGNMooring</v>
      </c>
      <c r="H106">
        <f>Dighi!$C$24</f>
        <v>0.1736</v>
      </c>
      <c r="I106">
        <f>Dighi!$D$24</f>
        <v>200</v>
      </c>
      <c r="J106" t="str">
        <f>Dighi!$E$24</f>
        <v>USD</v>
      </c>
    </row>
    <row r="107" spans="2:10">
      <c r="B107" t="s">
        <v>183</v>
      </c>
      <c r="C107" t="s">
        <v>97</v>
      </c>
      <c r="D107" t="s">
        <v>369</v>
      </c>
      <c r="E107" t="s">
        <v>103</v>
      </c>
      <c r="F107" t="s">
        <v>343</v>
      </c>
      <c r="G107" s="28" t="str">
        <f>Table137[[#This Row],[PORT]]&amp;Table137[[#This Row],[VESSEL TYPE]]&amp;Table137[[#This Row],[VESSEL RUN]]&amp;Table137[[#This Row],[SERVICE]]</f>
        <v>DIGHIPOLFOREIGNPESP &amp; Dredging</v>
      </c>
      <c r="H107">
        <f>IF($J$2&lt;=10000,Dighi!$C$25,IF($J$2&lt;=30000,Dighi!$C$26,Dighi!$C$27))</f>
        <v>800</v>
      </c>
      <c r="I107">
        <f>Dighi!$D$25</f>
        <v>0</v>
      </c>
      <c r="J107" t="str">
        <f>Dighi!$E$25</f>
        <v>USD</v>
      </c>
    </row>
    <row r="108" spans="2:10">
      <c r="B108" t="s">
        <v>183</v>
      </c>
      <c r="C108" t="s">
        <v>97</v>
      </c>
      <c r="D108" t="s">
        <v>140</v>
      </c>
      <c r="E108" t="s">
        <v>103</v>
      </c>
      <c r="F108" t="s">
        <v>0</v>
      </c>
      <c r="G108" s="28" t="str">
        <f>Table137[[#This Row],[PORT]]&amp;Table137[[#This Row],[VESSEL TYPE]]&amp;Table137[[#This Row],[VESSEL RUN]]&amp;Table137[[#This Row],[SERVICE]]</f>
        <v>DIGHITANKERFOREIGNPort Dues</v>
      </c>
      <c r="H108">
        <f>Dighi!$C$3</f>
        <v>6.3500000000000001E-2</v>
      </c>
      <c r="I108">
        <f>Dighi!$D$3</f>
        <v>375</v>
      </c>
      <c r="J108" t="str">
        <f>Dighi!$E$3</f>
        <v>USD</v>
      </c>
    </row>
    <row r="109" spans="2:10">
      <c r="B109" t="s">
        <v>183</v>
      </c>
      <c r="C109" t="s">
        <v>97</v>
      </c>
      <c r="D109" t="s">
        <v>140</v>
      </c>
      <c r="E109" t="s">
        <v>103</v>
      </c>
      <c r="F109" t="s">
        <v>3</v>
      </c>
      <c r="G109" s="28" t="str">
        <f>Table137[[#This Row],[PORT]]&amp;Table137[[#This Row],[VESSEL TYPE]]&amp;Table137[[#This Row],[VESSEL RUN]]&amp;Table137[[#This Row],[SERVICE]]</f>
        <v>DIGHITANKERFOREIGNPilotage</v>
      </c>
      <c r="H109">
        <f>IF(J2&lt;=25000,Dighi!C10,Dighi!C12)</f>
        <v>1.1662999999999999</v>
      </c>
      <c r="I109">
        <f>IF($J$2&lt;=15000,Dighi!$D$10,Dighi!$D$11)</f>
        <v>16275</v>
      </c>
      <c r="J109" t="str">
        <f>Dighi!$E$6</f>
        <v>USD</v>
      </c>
    </row>
    <row r="110" spans="2:10">
      <c r="B110" t="s">
        <v>183</v>
      </c>
      <c r="C110" t="s">
        <v>97</v>
      </c>
      <c r="D110" t="s">
        <v>140</v>
      </c>
      <c r="E110" t="s">
        <v>103</v>
      </c>
      <c r="F110" t="s">
        <v>7</v>
      </c>
      <c r="G110" s="28" t="str">
        <f>Table137[[#This Row],[PORT]]&amp;Table137[[#This Row],[VESSEL TYPE]]&amp;Table137[[#This Row],[VESSEL RUN]]&amp;Table137[[#This Row],[SERVICE]]</f>
        <v>DIGHITANKERFOREIGNBerth Hire</v>
      </c>
      <c r="H110">
        <f>IF($J$2&lt;=15000,Dighi!$C$17,IF($J$2&lt;=30000,Dighi!$C$18,Dighi!$C$19))</f>
        <v>1.0500000000000001E-2</v>
      </c>
      <c r="I110">
        <f>IF($J$2&lt;=15000,Dighi!$D$17,IF($J$2&lt;=30000,Dighi!$D$18,Dighi!$D$19))</f>
        <v>495</v>
      </c>
      <c r="J110" t="str">
        <f>Dighi!$E$23</f>
        <v>USD</v>
      </c>
    </row>
    <row r="111" spans="2:10">
      <c r="B111" t="s">
        <v>183</v>
      </c>
      <c r="C111" t="s">
        <v>97</v>
      </c>
      <c r="D111" t="s">
        <v>140</v>
      </c>
      <c r="E111" t="s">
        <v>103</v>
      </c>
      <c r="F111" t="s">
        <v>4</v>
      </c>
      <c r="G111" s="28" t="str">
        <f>Table137[[#This Row],[PORT]]&amp;Table137[[#This Row],[VESSEL TYPE]]&amp;Table137[[#This Row],[VESSEL RUN]]&amp;Table137[[#This Row],[SERVICE]]</f>
        <v>DIGHITANKERFOREIGNMooring</v>
      </c>
      <c r="H111">
        <f>Dighi!$C$24</f>
        <v>0.1736</v>
      </c>
      <c r="I111">
        <f>Dighi!$D$24</f>
        <v>200</v>
      </c>
      <c r="J111" t="str">
        <f>Dighi!$E$24</f>
        <v>USD</v>
      </c>
    </row>
    <row r="112" spans="2:10">
      <c r="B112" t="s">
        <v>183</v>
      </c>
      <c r="C112" t="s">
        <v>97</v>
      </c>
      <c r="D112" t="s">
        <v>140</v>
      </c>
      <c r="E112" t="s">
        <v>103</v>
      </c>
      <c r="F112" t="s">
        <v>343</v>
      </c>
      <c r="G112" s="28" t="str">
        <f>Table137[[#This Row],[PORT]]&amp;Table137[[#This Row],[VESSEL TYPE]]&amp;Table137[[#This Row],[VESSEL RUN]]&amp;Table137[[#This Row],[SERVICE]]</f>
        <v>DIGHITANKERFOREIGNPESP &amp; Dredging</v>
      </c>
      <c r="H112">
        <f>IF($J$2&lt;=10000,Dighi!$C$25,IF($J$2&lt;=30000,Dighi!$C$26,Dighi!$C$27))</f>
        <v>800</v>
      </c>
      <c r="I112">
        <f>Dighi!$D$25</f>
        <v>0</v>
      </c>
      <c r="J112" t="str">
        <f>Dighi!$E$25</f>
        <v>USD</v>
      </c>
    </row>
    <row r="113" spans="2:10">
      <c r="B113" t="s">
        <v>184</v>
      </c>
      <c r="C113" t="s">
        <v>98</v>
      </c>
      <c r="D113" t="s">
        <v>355</v>
      </c>
      <c r="E113" t="s">
        <v>138</v>
      </c>
      <c r="F113" t="s">
        <v>7</v>
      </c>
      <c r="G113" s="28" t="str">
        <f>Table137[[#This Row],[PORT]]&amp;Table137[[#This Row],[VESSEL TYPE]]&amp;Table137[[#This Row],[VESSEL RUN]]&amp;Table137[[#This Row],[SERVICE]]</f>
        <v>TUNADRY BULKCOASTALBerth Hire</v>
      </c>
      <c r="H113">
        <f>Tuna!$C$4</f>
        <v>0.44</v>
      </c>
      <c r="I113">
        <f>Tuna!$D$4</f>
        <v>0</v>
      </c>
      <c r="J113" t="str">
        <f>Tuna!$E$4</f>
        <v>INR</v>
      </c>
    </row>
    <row r="114" spans="2:10">
      <c r="B114" t="s">
        <v>184</v>
      </c>
      <c r="C114" t="s">
        <v>99</v>
      </c>
      <c r="D114" t="s">
        <v>355</v>
      </c>
      <c r="E114" t="s">
        <v>138</v>
      </c>
      <c r="F114" t="s">
        <v>7</v>
      </c>
      <c r="G114" s="28" t="str">
        <f>Table137[[#This Row],[PORT]]&amp;Table137[[#This Row],[VESSEL TYPE]]&amp;Table137[[#This Row],[VESSEL RUN]]&amp;Table137[[#This Row],[SERVICE]]</f>
        <v>GOADRY BULKCOASTALBerth Hire</v>
      </c>
      <c r="H114">
        <f>Goa!$C$4</f>
        <v>0.48</v>
      </c>
      <c r="I114">
        <f>Goa!$D$4</f>
        <v>0</v>
      </c>
      <c r="J114" t="str">
        <f>Goa!$E$4</f>
        <v>INR</v>
      </c>
    </row>
    <row r="115" spans="2:10">
      <c r="B115" t="s">
        <v>184</v>
      </c>
      <c r="C115" t="s">
        <v>100</v>
      </c>
      <c r="D115" t="s">
        <v>102</v>
      </c>
      <c r="E115" t="s">
        <v>138</v>
      </c>
      <c r="F115" t="s">
        <v>7</v>
      </c>
      <c r="G115" s="28" t="str">
        <f>Table137[[#This Row],[PORT]]&amp;Table137[[#This Row],[VESSEL TYPE]]&amp;Table137[[#This Row],[VESSEL RUN]]&amp;Table137[[#This Row],[SERVICE]]</f>
        <v>ENNORECONTAINERCOASTALBerth Hire</v>
      </c>
      <c r="H115">
        <f>Ennore!C4</f>
        <v>0.751</v>
      </c>
      <c r="I115">
        <f>Ennore!D4</f>
        <v>0</v>
      </c>
      <c r="J115" t="str">
        <f>Ennore!E4</f>
        <v>INR</v>
      </c>
    </row>
    <row r="116" spans="2:10">
      <c r="B116" t="s">
        <v>183</v>
      </c>
      <c r="C116" t="s">
        <v>372</v>
      </c>
      <c r="D116" t="s">
        <v>355</v>
      </c>
      <c r="E116" t="s">
        <v>138</v>
      </c>
      <c r="F116" t="s">
        <v>351</v>
      </c>
      <c r="G116" s="28" t="str">
        <f>Table137[[#This Row],[PORT]]&amp;Table137[[#This Row],[VESSEL TYPE]]&amp;Table137[[#This Row],[VESSEL RUN]]&amp;Table137[[#This Row],[SERVICE]]</f>
        <v>KRISHNAPTNMDRY BULKCOASTALSustainability</v>
      </c>
      <c r="H116">
        <f>Krishnapattnam!$C$33</f>
        <v>0.115</v>
      </c>
      <c r="I116">
        <f>Krishnapattnam!$D$33</f>
        <v>0</v>
      </c>
      <c r="J116" t="str">
        <f>Krishnapattnam!$E$33</f>
        <v>USD</v>
      </c>
    </row>
    <row r="117" spans="2:10">
      <c r="B117" t="s">
        <v>183</v>
      </c>
      <c r="C117" t="s">
        <v>372</v>
      </c>
      <c r="D117" t="s">
        <v>373</v>
      </c>
      <c r="E117" t="s">
        <v>138</v>
      </c>
      <c r="F117" t="s">
        <v>351</v>
      </c>
      <c r="G117" s="28" t="str">
        <f>Table137[[#This Row],[PORT]]&amp;Table137[[#This Row],[VESSEL TYPE]]&amp;Table137[[#This Row],[VESSEL RUN]]&amp;Table137[[#This Row],[SERVICE]]</f>
        <v>KRISHNAPTNMBREAK BULKCOASTALSustainability</v>
      </c>
      <c r="H117">
        <f>Krishnapattnam!$C$33</f>
        <v>0.115</v>
      </c>
      <c r="I117">
        <f>Krishnapattnam!$D$33</f>
        <v>0</v>
      </c>
      <c r="J117" t="str">
        <f>Krishnapattnam!$E$33</f>
        <v>USD</v>
      </c>
    </row>
    <row r="118" spans="2:10">
      <c r="B118" t="s">
        <v>183</v>
      </c>
      <c r="C118" t="s">
        <v>372</v>
      </c>
      <c r="D118" t="s">
        <v>355</v>
      </c>
      <c r="E118" t="s">
        <v>103</v>
      </c>
      <c r="F118" t="s">
        <v>351</v>
      </c>
      <c r="G118" s="28" t="str">
        <f>Table137[[#This Row],[PORT]]&amp;Table137[[#This Row],[VESSEL TYPE]]&amp;Table137[[#This Row],[VESSEL RUN]]&amp;Table137[[#This Row],[SERVICE]]</f>
        <v>KRISHNAPTNMDRY BULKFOREIGNSustainability</v>
      </c>
      <c r="H118">
        <f>Krishnapattnam!$C$33</f>
        <v>0.115</v>
      </c>
      <c r="I118">
        <f>Krishnapattnam!$D$33</f>
        <v>0</v>
      </c>
      <c r="J118" t="str">
        <f>Krishnapattnam!$E$33</f>
        <v>USD</v>
      </c>
    </row>
    <row r="119" spans="2:10">
      <c r="B119" t="s">
        <v>183</v>
      </c>
      <c r="C119" t="s">
        <v>372</v>
      </c>
      <c r="D119" t="s">
        <v>373</v>
      </c>
      <c r="E119" t="s">
        <v>103</v>
      </c>
      <c r="F119" t="s">
        <v>351</v>
      </c>
      <c r="G119" s="28" t="str">
        <f>Table137[[#This Row],[PORT]]&amp;Table137[[#This Row],[VESSEL TYPE]]&amp;Table137[[#This Row],[VESSEL RUN]]&amp;Table137[[#This Row],[SERVICE]]</f>
        <v>KRISHNAPTNMBREAK BULKFOREIGNSustainability</v>
      </c>
      <c r="H119">
        <f>Krishnapattnam!$C$33</f>
        <v>0.115</v>
      </c>
      <c r="I119">
        <f>Krishnapattnam!$D$33</f>
        <v>0</v>
      </c>
      <c r="J119" t="str">
        <f>Krishnapattnam!$E$33</f>
        <v>USD</v>
      </c>
    </row>
    <row r="120" spans="2:10">
      <c r="B120" t="s">
        <v>183</v>
      </c>
      <c r="C120" t="s">
        <v>74</v>
      </c>
      <c r="D120" t="s">
        <v>102</v>
      </c>
      <c r="E120" t="s">
        <v>103</v>
      </c>
      <c r="F120" t="s">
        <v>0</v>
      </c>
      <c r="G120" s="28" t="str">
        <f>Table137[[#This Row],[PORT]]&amp;Table137[[#This Row],[VESSEL TYPE]]&amp;Table137[[#This Row],[VESSEL RUN]]&amp;Table137[[#This Row],[SERVICE]]</f>
        <v>MUNDRACONTAINERFOREIGNPort Dues</v>
      </c>
      <c r="H120">
        <f>Mundra!$C$3</f>
        <v>6.5016000000000004E-2</v>
      </c>
      <c r="I120">
        <f>Mundra!$D$3</f>
        <v>330</v>
      </c>
      <c r="J120" t="str">
        <f>Mundra!$E$3</f>
        <v>USD</v>
      </c>
    </row>
    <row r="121" spans="2:10">
      <c r="B121" t="s">
        <v>183</v>
      </c>
      <c r="C121" t="s">
        <v>74</v>
      </c>
      <c r="D121" t="s">
        <v>102</v>
      </c>
      <c r="E121" t="s">
        <v>103</v>
      </c>
      <c r="F121" t="s">
        <v>3</v>
      </c>
      <c r="G121" s="28" t="str">
        <f>Table137[[#This Row],[PORT]]&amp;Table137[[#This Row],[VESSEL TYPE]]&amp;Table137[[#This Row],[VESSEL RUN]]&amp;Table137[[#This Row],[SERVICE]]</f>
        <v>MUNDRACONTAINERFOREIGNPilotage</v>
      </c>
      <c r="H121">
        <f>IF($J$2&lt;=10000,Mundra!$C$4,Mundra!$C$6)</f>
        <v>0.96704599999999996</v>
      </c>
      <c r="I121">
        <f>IF($J$2&lt;=3000,Mundra!$D$4,IF($J$2&lt;=9999,Mundra!$D$5,IF($J$2&lt;=15000,Mundra!$D$5,IF($J$2&lt;=19999,Mundra!$D$6,IF($J$2&lt;=39999,Mundra!$D$6,Mundra!$D$6)))))</f>
        <v>15370</v>
      </c>
      <c r="J121" t="s">
        <v>16</v>
      </c>
    </row>
    <row r="122" spans="2:10">
      <c r="B122" t="s">
        <v>183</v>
      </c>
      <c r="C122" t="s">
        <v>74</v>
      </c>
      <c r="D122" t="s">
        <v>102</v>
      </c>
      <c r="E122" t="s">
        <v>103</v>
      </c>
      <c r="F122" t="s">
        <v>7</v>
      </c>
      <c r="G122" s="28" t="str">
        <f>Table137[[#This Row],[PORT]]&amp;Table137[[#This Row],[VESSEL TYPE]]&amp;Table137[[#This Row],[VESSEL RUN]]&amp;Table137[[#This Row],[SERVICE]]</f>
        <v>MUNDRACONTAINERFOREIGNBerth Hire</v>
      </c>
      <c r="H122">
        <f>Mundra!$C$7</f>
        <v>9.8209999999999999E-3</v>
      </c>
      <c r="I122">
        <f>Mundra!$D$7</f>
        <v>690</v>
      </c>
      <c r="J122" t="s">
        <v>16</v>
      </c>
    </row>
    <row r="123" spans="2:10">
      <c r="B123" t="s">
        <v>183</v>
      </c>
      <c r="C123" t="s">
        <v>74</v>
      </c>
      <c r="D123" t="s">
        <v>102</v>
      </c>
      <c r="E123" t="s">
        <v>103</v>
      </c>
      <c r="F123" t="s">
        <v>4</v>
      </c>
      <c r="G123" s="28" t="str">
        <f>Table137[[#This Row],[PORT]]&amp;Table137[[#This Row],[VESSEL TYPE]]&amp;Table137[[#This Row],[VESSEL RUN]]&amp;Table137[[#This Row],[SERVICE]]</f>
        <v>MUNDRACONTAINERFOREIGNMooring</v>
      </c>
      <c r="H123">
        <f>Mundra!$C$8</f>
        <v>3.4720000000000001E-2</v>
      </c>
      <c r="I123">
        <f>Mundra!$D$8</f>
        <v>200</v>
      </c>
      <c r="J123" t="s">
        <v>16</v>
      </c>
    </row>
    <row r="124" spans="2:10">
      <c r="B124" t="s">
        <v>183</v>
      </c>
      <c r="C124" t="s">
        <v>74</v>
      </c>
      <c r="D124" t="s">
        <v>102</v>
      </c>
      <c r="E124" t="s">
        <v>103</v>
      </c>
      <c r="F124" t="s">
        <v>343</v>
      </c>
      <c r="G124" s="28" t="str">
        <f>Table137[[#This Row],[PORT]]&amp;Table137[[#This Row],[VESSEL TYPE]]&amp;Table137[[#This Row],[VESSEL RUN]]&amp;Table137[[#This Row],[SERVICE]]</f>
        <v>MUNDRACONTAINERFOREIGNPESP &amp; Dredging</v>
      </c>
      <c r="H124">
        <v>0</v>
      </c>
      <c r="I124">
        <v>0</v>
      </c>
      <c r="J124" t="s">
        <v>16</v>
      </c>
    </row>
    <row r="125" spans="2:10">
      <c r="B125" t="s">
        <v>183</v>
      </c>
      <c r="C125" t="s">
        <v>74</v>
      </c>
      <c r="D125" t="s">
        <v>140</v>
      </c>
      <c r="E125" t="s">
        <v>103</v>
      </c>
      <c r="F125" t="s">
        <v>0</v>
      </c>
      <c r="G125" s="28" t="str">
        <f>Table137[[#This Row],[PORT]]&amp;Table137[[#This Row],[VESSEL TYPE]]&amp;Table137[[#This Row],[VESSEL RUN]]&amp;Table137[[#This Row],[SERVICE]]</f>
        <v>MUNDRATANKERFOREIGNPort Dues</v>
      </c>
      <c r="H125">
        <f>Mundra!$C$3</f>
        <v>6.5016000000000004E-2</v>
      </c>
      <c r="I125">
        <f>Mundra!$D$3</f>
        <v>330</v>
      </c>
      <c r="J125" t="str">
        <f>Mundra!$E$3</f>
        <v>USD</v>
      </c>
    </row>
    <row r="126" spans="2:10">
      <c r="B126" t="s">
        <v>183</v>
      </c>
      <c r="C126" t="s">
        <v>74</v>
      </c>
      <c r="D126" t="s">
        <v>140</v>
      </c>
      <c r="E126" t="s">
        <v>103</v>
      </c>
      <c r="F126" t="s">
        <v>3</v>
      </c>
      <c r="G126" s="28" t="str">
        <f>Table137[[#This Row],[PORT]]&amp;Table137[[#This Row],[VESSEL TYPE]]&amp;Table137[[#This Row],[VESSEL RUN]]&amp;Table137[[#This Row],[SERVICE]]</f>
        <v>MUNDRATANKERFOREIGNPilotage</v>
      </c>
      <c r="H126">
        <f>IF($J$2&lt;=10000,Mundra!$C$4,Mundra!$C$6)</f>
        <v>0.96704599999999996</v>
      </c>
      <c r="I126">
        <f>IF($J$2&lt;=3000,Mundra!$D$4,IF($J$2&lt;=9999,Mundra!$D$5,IF($J$2&lt;=15000,Mundra!$D$5,IF($J$2&lt;=19999,Mundra!$D$6,IF($J$2&lt;=39999,Mundra!$D$6,Mundra!$D$6)))))</f>
        <v>15370</v>
      </c>
      <c r="J126" t="s">
        <v>16</v>
      </c>
    </row>
    <row r="127" spans="2:10">
      <c r="B127" t="s">
        <v>183</v>
      </c>
      <c r="C127" t="s">
        <v>74</v>
      </c>
      <c r="D127" t="s">
        <v>140</v>
      </c>
      <c r="E127" t="s">
        <v>103</v>
      </c>
      <c r="F127" t="s">
        <v>7</v>
      </c>
      <c r="G127" s="28" t="str">
        <f>Table137[[#This Row],[PORT]]&amp;Table137[[#This Row],[VESSEL TYPE]]&amp;Table137[[#This Row],[VESSEL RUN]]&amp;Table137[[#This Row],[SERVICE]]</f>
        <v>MUNDRATANKERFOREIGNBerth Hire</v>
      </c>
      <c r="H127">
        <f>Mundra!$C$7</f>
        <v>9.8209999999999999E-3</v>
      </c>
      <c r="I127">
        <f>Mundra!$D$7</f>
        <v>690</v>
      </c>
      <c r="J127" t="s">
        <v>16</v>
      </c>
    </row>
    <row r="128" spans="2:10">
      <c r="B128" t="s">
        <v>183</v>
      </c>
      <c r="C128" t="s">
        <v>74</v>
      </c>
      <c r="D128" t="s">
        <v>140</v>
      </c>
      <c r="E128" t="s">
        <v>103</v>
      </c>
      <c r="F128" t="s">
        <v>4</v>
      </c>
      <c r="G128" s="28" t="str">
        <f>Table137[[#This Row],[PORT]]&amp;Table137[[#This Row],[VESSEL TYPE]]&amp;Table137[[#This Row],[VESSEL RUN]]&amp;Table137[[#This Row],[SERVICE]]</f>
        <v>MUNDRATANKERFOREIGNMooring</v>
      </c>
      <c r="H128">
        <f>Mundra!$C$8</f>
        <v>3.4720000000000001E-2</v>
      </c>
      <c r="I128">
        <f>Mundra!$D$8</f>
        <v>200</v>
      </c>
      <c r="J128" t="s">
        <v>16</v>
      </c>
    </row>
    <row r="129" spans="2:10">
      <c r="B129" t="s">
        <v>183</v>
      </c>
      <c r="C129" t="s">
        <v>74</v>
      </c>
      <c r="D129" t="s">
        <v>140</v>
      </c>
      <c r="E129" t="s">
        <v>103</v>
      </c>
      <c r="F129" t="s">
        <v>343</v>
      </c>
      <c r="G129" s="28" t="str">
        <f>Table137[[#This Row],[PORT]]&amp;Table137[[#This Row],[VESSEL TYPE]]&amp;Table137[[#This Row],[VESSEL RUN]]&amp;Table137[[#This Row],[SERVICE]]</f>
        <v>MUNDRATANKERFOREIGNPESP &amp; Dredging</v>
      </c>
      <c r="H129">
        <f>IF($J$2&lt;=10000,Mundra!$C$9,IF($J$2&lt;=30000,Mundra!$C$10,Mundra!$C$11))</f>
        <v>800</v>
      </c>
      <c r="I129">
        <f>Mundra!$D$9</f>
        <v>0</v>
      </c>
      <c r="J129" t="s">
        <v>16</v>
      </c>
    </row>
    <row r="130" spans="2:10">
      <c r="B130" t="s">
        <v>183</v>
      </c>
      <c r="C130" t="s">
        <v>74</v>
      </c>
      <c r="D130" t="s">
        <v>373</v>
      </c>
      <c r="E130" t="s">
        <v>103</v>
      </c>
      <c r="F130" t="s">
        <v>0</v>
      </c>
      <c r="G130" s="28" t="str">
        <f>Table137[[#This Row],[PORT]]&amp;Table137[[#This Row],[VESSEL TYPE]]&amp;Table137[[#This Row],[VESSEL RUN]]&amp;Table137[[#This Row],[SERVICE]]</f>
        <v>MUNDRABREAK BULKFOREIGNPort Dues</v>
      </c>
      <c r="H130">
        <f>Mundra!$C$3</f>
        <v>6.5016000000000004E-2</v>
      </c>
      <c r="I130">
        <f>Mundra!$D$3</f>
        <v>330</v>
      </c>
      <c r="J130" t="str">
        <f>Mundra!$E$3</f>
        <v>USD</v>
      </c>
    </row>
    <row r="131" spans="2:10">
      <c r="B131" t="s">
        <v>183</v>
      </c>
      <c r="C131" t="s">
        <v>74</v>
      </c>
      <c r="D131" t="s">
        <v>373</v>
      </c>
      <c r="E131" t="s">
        <v>103</v>
      </c>
      <c r="F131" t="s">
        <v>3</v>
      </c>
      <c r="G131" s="28" t="str">
        <f>Table137[[#This Row],[PORT]]&amp;Table137[[#This Row],[VESSEL TYPE]]&amp;Table137[[#This Row],[VESSEL RUN]]&amp;Table137[[#This Row],[SERVICE]]</f>
        <v>MUNDRABREAK BULKFOREIGNPilotage</v>
      </c>
      <c r="H131">
        <f>IF($J$2&lt;=10000,Mundra!$C$4,Mundra!$C$6)</f>
        <v>0.96704599999999996</v>
      </c>
      <c r="I131">
        <f>IF($J$2&lt;=3000,Mundra!$D$4,IF($J$2&lt;=9999,Mundra!$D$5,IF($J$2&lt;=15000,Mundra!$D$5,IF($J$2&lt;=19999,Mundra!$D$6,IF($J$2&lt;=39999,Mundra!$D$6,Mundra!$D$6)))))</f>
        <v>15370</v>
      </c>
      <c r="J131" t="s">
        <v>16</v>
      </c>
    </row>
    <row r="132" spans="2:10">
      <c r="B132" t="s">
        <v>183</v>
      </c>
      <c r="C132" t="s">
        <v>74</v>
      </c>
      <c r="D132" t="s">
        <v>373</v>
      </c>
      <c r="E132" t="s">
        <v>103</v>
      </c>
      <c r="F132" t="s">
        <v>7</v>
      </c>
      <c r="G132" s="28" t="str">
        <f>Table137[[#This Row],[PORT]]&amp;Table137[[#This Row],[VESSEL TYPE]]&amp;Table137[[#This Row],[VESSEL RUN]]&amp;Table137[[#This Row],[SERVICE]]</f>
        <v>MUNDRABREAK BULKFOREIGNBerth Hire</v>
      </c>
      <c r="H132">
        <f>Mundra!$C$7</f>
        <v>9.8209999999999999E-3</v>
      </c>
      <c r="I132">
        <f>Mundra!$D$7</f>
        <v>690</v>
      </c>
      <c r="J132" t="s">
        <v>16</v>
      </c>
    </row>
    <row r="133" spans="2:10">
      <c r="B133" t="s">
        <v>183</v>
      </c>
      <c r="C133" t="s">
        <v>74</v>
      </c>
      <c r="D133" t="s">
        <v>373</v>
      </c>
      <c r="E133" t="s">
        <v>103</v>
      </c>
      <c r="F133" t="s">
        <v>4</v>
      </c>
      <c r="G133" s="28" t="str">
        <f>Table137[[#This Row],[PORT]]&amp;Table137[[#This Row],[VESSEL TYPE]]&amp;Table137[[#This Row],[VESSEL RUN]]&amp;Table137[[#This Row],[SERVICE]]</f>
        <v>MUNDRABREAK BULKFOREIGNMooring</v>
      </c>
      <c r="H133">
        <f>Mundra!$C$8</f>
        <v>3.4720000000000001E-2</v>
      </c>
      <c r="I133">
        <f>Mundra!$D$8</f>
        <v>200</v>
      </c>
      <c r="J133" t="s">
        <v>16</v>
      </c>
    </row>
    <row r="134" spans="2:10">
      <c r="B134" t="s">
        <v>183</v>
      </c>
      <c r="C134" t="s">
        <v>74</v>
      </c>
      <c r="D134" t="s">
        <v>373</v>
      </c>
      <c r="E134" t="s">
        <v>103</v>
      </c>
      <c r="F134" t="s">
        <v>343</v>
      </c>
      <c r="G134" s="28" t="str">
        <f>Table137[[#This Row],[PORT]]&amp;Table137[[#This Row],[VESSEL TYPE]]&amp;Table137[[#This Row],[VESSEL RUN]]&amp;Table137[[#This Row],[SERVICE]]</f>
        <v>MUNDRABREAK BULKFOREIGNPESP &amp; Dredging</v>
      </c>
      <c r="H134">
        <f>IF($J$2&lt;=10000,Mundra!$C$9,IF($J$2&lt;=30000,Mundra!$C$10,Mundra!$C$11))</f>
        <v>800</v>
      </c>
      <c r="I134">
        <f>Mundra!$D$9</f>
        <v>0</v>
      </c>
      <c r="J134" t="s">
        <v>16</v>
      </c>
    </row>
    <row r="135" spans="2:10">
      <c r="B135" t="s">
        <v>183</v>
      </c>
      <c r="C135" t="s">
        <v>88</v>
      </c>
      <c r="D135" t="s">
        <v>373</v>
      </c>
      <c r="E135" t="s">
        <v>103</v>
      </c>
      <c r="F135" t="s">
        <v>0</v>
      </c>
      <c r="G135" s="28" t="str">
        <f>Table137[[#This Row],[PORT]]&amp;Table137[[#This Row],[VESSEL TYPE]]&amp;Table137[[#This Row],[VESSEL RUN]]&amp;Table137[[#This Row],[SERVICE]]</f>
        <v>HAZIRABREAK BULKFOREIGNPort Dues</v>
      </c>
      <c r="H135" s="140">
        <f>Hazira!$C$9</f>
        <v>0.06</v>
      </c>
      <c r="I135">
        <f>Hazira!$D$9</f>
        <v>425</v>
      </c>
      <c r="J135" t="s">
        <v>16</v>
      </c>
    </row>
    <row r="136" spans="2:10">
      <c r="B136" t="s">
        <v>183</v>
      </c>
      <c r="C136" t="s">
        <v>88</v>
      </c>
      <c r="D136" t="s">
        <v>373</v>
      </c>
      <c r="E136" t="s">
        <v>103</v>
      </c>
      <c r="F136" t="s">
        <v>3</v>
      </c>
      <c r="G136" s="28" t="str">
        <f>Table137[[#This Row],[PORT]]&amp;Table137[[#This Row],[VESSEL TYPE]]&amp;Table137[[#This Row],[VESSEL RUN]]&amp;Table137[[#This Row],[SERVICE]]</f>
        <v>HAZIRABREAK BULKFOREIGNPilotage</v>
      </c>
      <c r="H136">
        <f>Hazira!$C$10</f>
        <v>1.2210000000000001</v>
      </c>
      <c r="I136">
        <f>IF($J$2&lt;=3000,Hazira!$D$10,IF('Tariff Master'!$J$2&lt;=15000,Hazira!$D$11,Hazira!$D$12))</f>
        <v>19600</v>
      </c>
      <c r="J136" t="s">
        <v>16</v>
      </c>
    </row>
    <row r="137" spans="2:10">
      <c r="B137" t="s">
        <v>183</v>
      </c>
      <c r="C137" t="s">
        <v>88</v>
      </c>
      <c r="D137" t="s">
        <v>373</v>
      </c>
      <c r="E137" t="s">
        <v>103</v>
      </c>
      <c r="F137" t="s">
        <v>7</v>
      </c>
      <c r="G137" s="28" t="str">
        <f>Table137[[#This Row],[PORT]]&amp;Table137[[#This Row],[VESSEL TYPE]]&amp;Table137[[#This Row],[VESSEL RUN]]&amp;Table137[[#This Row],[SERVICE]]</f>
        <v>HAZIRABREAK BULKFOREIGNBerth Hire</v>
      </c>
      <c r="H137">
        <f>Hazira!$C$17</f>
        <v>1.11E-2</v>
      </c>
      <c r="I137">
        <f>Hazira!$D$17</f>
        <v>690</v>
      </c>
      <c r="J137" t="s">
        <v>16</v>
      </c>
    </row>
    <row r="138" spans="2:10">
      <c r="B138" t="s">
        <v>183</v>
      </c>
      <c r="C138" t="s">
        <v>88</v>
      </c>
      <c r="D138" t="s">
        <v>373</v>
      </c>
      <c r="E138" t="s">
        <v>103</v>
      </c>
      <c r="F138" t="s">
        <v>4</v>
      </c>
      <c r="G138" s="28" t="str">
        <f>Table137[[#This Row],[PORT]]&amp;Table137[[#This Row],[VESSEL TYPE]]&amp;Table137[[#This Row],[VESSEL RUN]]&amp;Table137[[#This Row],[SERVICE]]</f>
        <v>HAZIRABREAK BULKFOREIGNMooring</v>
      </c>
      <c r="H138">
        <f>Hazira!$C$21</f>
        <v>3.6499999999999998E-2</v>
      </c>
      <c r="I138">
        <f>Hazira!$D$21</f>
        <v>210</v>
      </c>
      <c r="J138" t="s">
        <v>16</v>
      </c>
    </row>
    <row r="139" spans="2:10">
      <c r="B139" t="s">
        <v>183</v>
      </c>
      <c r="C139" t="s">
        <v>88</v>
      </c>
      <c r="D139" t="s">
        <v>373</v>
      </c>
      <c r="E139" t="s">
        <v>103</v>
      </c>
      <c r="F139" t="s">
        <v>343</v>
      </c>
      <c r="G139" s="28" t="str">
        <f>Table137[[#This Row],[PORT]]&amp;Table137[[#This Row],[VESSEL TYPE]]&amp;Table137[[#This Row],[VESSEL RUN]]&amp;Table137[[#This Row],[SERVICE]]</f>
        <v>HAZIRABREAK BULKFOREIGNPESP &amp; Dredging</v>
      </c>
      <c r="H139">
        <f>IF($J$2&lt;=10000,Hazira!$C$22,IF($J$2&lt;=30000,Hazira!$C$23,Hazira!$C$24))</f>
        <v>800</v>
      </c>
      <c r="I139">
        <f>IF($J$2&lt;=10000,Hazira!$D$22,IF($J$2&lt;30000,Hazira!$D$23,Hazira!$D$24))</f>
        <v>0</v>
      </c>
      <c r="J139" t="s">
        <v>16</v>
      </c>
    </row>
    <row r="140" spans="2:10">
      <c r="B140" t="s">
        <v>183</v>
      </c>
      <c r="C140" t="s">
        <v>90</v>
      </c>
      <c r="D140" t="s">
        <v>373</v>
      </c>
      <c r="E140" t="s">
        <v>103</v>
      </c>
      <c r="F140" t="s">
        <v>3</v>
      </c>
      <c r="G140" s="28" t="str">
        <f>Table137[[#This Row],[PORT]]&amp;Table137[[#This Row],[VESSEL TYPE]]&amp;Table137[[#This Row],[VESSEL RUN]]&amp;Table137[[#This Row],[SERVICE]]</f>
        <v>KATTUPALLIBREAK BULKFOREIGNPilotage</v>
      </c>
      <c r="H140">
        <f>IF($J$2&lt;=3000,Kattupalli!$C$17,IF('Tariff Master'!$J$2&lt;=10000,Kattupalli!$C$18,IF('Tariff Master'!$J$2&lt;=15000,Kattupalli!$C$19,IF('Tariff Master'!$J$2&lt;=30000,Kattupalli!$C$20,IF('Tariff Master'!$J$2&lt;=60000,Kattupalli!$C$21,Kattupalli!$C$22)))))</f>
        <v>0.92900000000000005</v>
      </c>
      <c r="I140">
        <f>IF($J$2&lt;=3000,Kattupalli!$D$17,Kattupalli!$D$18)</f>
        <v>3861</v>
      </c>
      <c r="J140" t="str">
        <f>Kattupalli!$E$17</f>
        <v>USD</v>
      </c>
    </row>
    <row r="141" spans="2:10">
      <c r="B141" t="s">
        <v>183</v>
      </c>
      <c r="C141" t="s">
        <v>90</v>
      </c>
      <c r="D141" t="s">
        <v>373</v>
      </c>
      <c r="E141" t="s">
        <v>103</v>
      </c>
      <c r="F141" t="s">
        <v>7</v>
      </c>
      <c r="G141" s="28" t="str">
        <f>Table137[[#This Row],[PORT]]&amp;Table137[[#This Row],[VESSEL TYPE]]&amp;Table137[[#This Row],[VESSEL RUN]]&amp;Table137[[#This Row],[SERVICE]]</f>
        <v>KATTUPALLIBREAK BULKFOREIGNBerth Hire</v>
      </c>
      <c r="H141">
        <f>Kattupalli!$C$31</f>
        <v>5.4000000000000003E-3</v>
      </c>
      <c r="I141">
        <f>Kattupalli!$D$31</f>
        <v>805</v>
      </c>
      <c r="J141" t="str">
        <f>Kattupalli!$E$31</f>
        <v>USD</v>
      </c>
    </row>
    <row r="142" spans="2:10">
      <c r="B142" t="s">
        <v>183</v>
      </c>
      <c r="C142" t="s">
        <v>90</v>
      </c>
      <c r="D142" t="s">
        <v>373</v>
      </c>
      <c r="E142" t="s">
        <v>138</v>
      </c>
      <c r="F142" t="s">
        <v>3</v>
      </c>
      <c r="G142" s="28" t="str">
        <f>Table137[[#This Row],[PORT]]&amp;Table137[[#This Row],[VESSEL TYPE]]&amp;Table137[[#This Row],[VESSEL RUN]]&amp;Table137[[#This Row],[SERVICE]]</f>
        <v>KATTUPALLIBREAK BULKCOASTALPilotage</v>
      </c>
      <c r="H142">
        <f>IF($J$2&lt;=3000,Kattupalli!$C$23,IF('Tariff Master'!$J$2&lt;=10000,Kattupalli!$C$24,IF('Tariff Master'!$J$2&lt;=15000,Kattupalli!$C$25,IF('Tariff Master'!$J$2&lt;=30000,Kattupalli!$C$26,IF('Tariff Master'!$J$2&lt;=60000,Kattupalli!$C$27,Kattupalli!$C$28)))))</f>
        <v>22.87</v>
      </c>
      <c r="I142">
        <f>IF($J$2&lt;=3000,Kattupalli!$D$23,Kattupalli!$D$24)</f>
        <v>42887</v>
      </c>
      <c r="J142" t="str">
        <f>Kattupalli!$E$11</f>
        <v>INR</v>
      </c>
    </row>
    <row r="143" spans="2:10">
      <c r="B143" t="s">
        <v>183</v>
      </c>
      <c r="C143" t="s">
        <v>90</v>
      </c>
      <c r="D143" t="s">
        <v>373</v>
      </c>
      <c r="E143" t="s">
        <v>138</v>
      </c>
      <c r="F143" t="s">
        <v>7</v>
      </c>
      <c r="G143" s="28" t="str">
        <f>Table137[[#This Row],[PORT]]&amp;Table137[[#This Row],[VESSEL TYPE]]&amp;Table137[[#This Row],[VESSEL RUN]]&amp;Table137[[#This Row],[SERVICE]]</f>
        <v>KATTUPALLIBREAK BULKCOASTALBerth Hire</v>
      </c>
      <c r="H143">
        <f>Kattupalli!$C$32</f>
        <v>0.13</v>
      </c>
      <c r="I143">
        <f>Kattupalli!$D$32</f>
        <v>13420</v>
      </c>
      <c r="J143" t="str">
        <f>Kattupalli!$E$32</f>
        <v>INR</v>
      </c>
    </row>
    <row r="144" spans="2:10">
      <c r="B144" t="s">
        <v>183</v>
      </c>
      <c r="C144" t="s">
        <v>90</v>
      </c>
      <c r="D144" t="s">
        <v>373</v>
      </c>
      <c r="E144" t="s">
        <v>103</v>
      </c>
      <c r="F144" t="s">
        <v>4</v>
      </c>
      <c r="G144" s="28" t="str">
        <f>Table137[[#This Row],[PORT]]&amp;Table137[[#This Row],[VESSEL TYPE]]&amp;Table137[[#This Row],[VESSEL RUN]]&amp;Table137[[#This Row],[SERVICE]]</f>
        <v>KATTUPALLIBREAK BULKFOREIGNMooring</v>
      </c>
      <c r="H144">
        <f>Kattupalli!$C$33</f>
        <v>3.5000000000000003E-2</v>
      </c>
      <c r="I144">
        <f>Kattupalli!$D$33</f>
        <v>200</v>
      </c>
      <c r="J144" t="str">
        <f>Kattupalli!$E$33</f>
        <v>USD</v>
      </c>
    </row>
    <row r="145" spans="2:10">
      <c r="B145" t="s">
        <v>183</v>
      </c>
      <c r="C145" t="s">
        <v>90</v>
      </c>
      <c r="D145" t="s">
        <v>373</v>
      </c>
      <c r="E145" t="s">
        <v>138</v>
      </c>
      <c r="F145" t="s">
        <v>4</v>
      </c>
      <c r="G145" s="28" t="str">
        <f>Table137[[#This Row],[PORT]]&amp;Table137[[#This Row],[VESSEL TYPE]]&amp;Table137[[#This Row],[VESSEL RUN]]&amp;Table137[[#This Row],[SERVICE]]</f>
        <v>KATTUPALLIBREAK BULKCOASTALMooring</v>
      </c>
      <c r="H145">
        <f>Kattupalli!$C$33</f>
        <v>3.5000000000000003E-2</v>
      </c>
      <c r="I145">
        <f>Kattupalli!$D$33</f>
        <v>200</v>
      </c>
      <c r="J145" t="str">
        <f>Kattupalli!$E$33</f>
        <v>USD</v>
      </c>
    </row>
    <row r="146" spans="2:10">
      <c r="B146" t="s">
        <v>183</v>
      </c>
      <c r="C146" t="s">
        <v>90</v>
      </c>
      <c r="D146" t="s">
        <v>373</v>
      </c>
      <c r="E146" t="s">
        <v>103</v>
      </c>
      <c r="F146" t="s">
        <v>343</v>
      </c>
      <c r="G146" s="28" t="str">
        <f>Table137[[#This Row],[PORT]]&amp;Table137[[#This Row],[VESSEL TYPE]]&amp;Table137[[#This Row],[VESSEL RUN]]&amp;Table137[[#This Row],[SERVICE]]</f>
        <v>KATTUPALLIBREAK BULKFOREIGNPESP &amp; Dredging</v>
      </c>
      <c r="H146">
        <f>IF($J$2&lt;=10000,Kattupalli!$C$34,IF($J$2&lt;=30000,Kattupalli!$C$35,Kattupalli!$C$36))</f>
        <v>800</v>
      </c>
      <c r="I146">
        <f>IF($J$2&lt;=10000,Kattupalli!$D$34,IF($J$2&lt;30000,Kattupalli!$D$35,Kattupalli!$D$36))</f>
        <v>0</v>
      </c>
      <c r="J146" t="s">
        <v>16</v>
      </c>
    </row>
    <row r="147" spans="2:10">
      <c r="B147" t="s">
        <v>183</v>
      </c>
      <c r="C147" t="s">
        <v>90</v>
      </c>
      <c r="D147" t="s">
        <v>373</v>
      </c>
      <c r="E147" t="s">
        <v>138</v>
      </c>
      <c r="F147" t="s">
        <v>343</v>
      </c>
      <c r="G147" s="28" t="str">
        <f>Table137[[#This Row],[PORT]]&amp;Table137[[#This Row],[VESSEL TYPE]]&amp;Table137[[#This Row],[VESSEL RUN]]&amp;Table137[[#This Row],[SERVICE]]</f>
        <v>KATTUPALLIBREAK BULKCOASTALPESP &amp; Dredging</v>
      </c>
      <c r="H147">
        <f>IF($J$2&lt;=10000,Kattupalli!$C$34,IF($J$2&lt;=30000,Kattupalli!$C$35,Kattupalli!$C$36))</f>
        <v>800</v>
      </c>
      <c r="I147">
        <f>IF($J$2&lt;=10000,Kattupalli!$D$34,IF($J$2&lt;30000,Kattupalli!$D$35,Kattupalli!$D$36))</f>
        <v>0</v>
      </c>
      <c r="J147" t="s">
        <v>16</v>
      </c>
    </row>
    <row r="148" spans="2:10">
      <c r="B148" t="s">
        <v>183</v>
      </c>
      <c r="C148" t="s">
        <v>354</v>
      </c>
      <c r="D148" t="s">
        <v>355</v>
      </c>
      <c r="E148" t="s">
        <v>103</v>
      </c>
      <c r="F148" t="s">
        <v>0</v>
      </c>
      <c r="G148" s="28" t="str">
        <f>Table137[[#This Row],[PORT]]&amp;Table137[[#This Row],[VESSEL TYPE]]&amp;Table137[[#This Row],[VESSEL RUN]]&amp;Table137[[#This Row],[SERVICE]]</f>
        <v>KARAIKALDRY BULKFOREIGNPort Dues</v>
      </c>
      <c r="H148">
        <f>Karaikal!$C$3</f>
        <v>0.49</v>
      </c>
      <c r="I148">
        <f>Karaikal!$D$3</f>
        <v>0</v>
      </c>
      <c r="J148" t="str">
        <f>Karaikal!$E$3</f>
        <v>USD</v>
      </c>
    </row>
    <row r="149" spans="2:10">
      <c r="B149" t="s">
        <v>183</v>
      </c>
      <c r="C149" t="s">
        <v>354</v>
      </c>
      <c r="D149" t="s">
        <v>355</v>
      </c>
      <c r="E149" t="s">
        <v>103</v>
      </c>
      <c r="F149" t="s">
        <v>3</v>
      </c>
      <c r="G149" s="28" t="str">
        <f>Table137[[#This Row],[PORT]]&amp;Table137[[#This Row],[VESSEL TYPE]]&amp;Table137[[#This Row],[VESSEL RUN]]&amp;Table137[[#This Row],[SERVICE]]</f>
        <v>KARAIKALDRY BULKFOREIGNPilotage</v>
      </c>
      <c r="H149">
        <f>IF($J$2&lt;=10000,Karaikal!$C$4,Karaikal!$C$6)</f>
        <v>1.1880999999999999</v>
      </c>
      <c r="I149">
        <f>IF($J$2&lt;=3000,Karaikal!$D$4,IF($J$2&lt;=15000,Karaikal!$D$5,Karaikal!$D$6))</f>
        <v>18000</v>
      </c>
      <c r="J149" t="str">
        <f>Karaikal!$E$4</f>
        <v>USD</v>
      </c>
    </row>
    <row r="150" spans="2:10">
      <c r="B150" t="s">
        <v>183</v>
      </c>
      <c r="C150" t="s">
        <v>354</v>
      </c>
      <c r="D150" t="s">
        <v>355</v>
      </c>
      <c r="E150" t="s">
        <v>103</v>
      </c>
      <c r="F150" t="s">
        <v>7</v>
      </c>
      <c r="G150" s="28" t="str">
        <f>Table137[[#This Row],[PORT]]&amp;Table137[[#This Row],[VESSEL TYPE]]&amp;Table137[[#This Row],[VESSEL RUN]]&amp;Table137[[#This Row],[SERVICE]]</f>
        <v>KARAIKALDRY BULKFOREIGNBerth Hire</v>
      </c>
      <c r="H150">
        <f>Karaikal!$C$7</f>
        <v>1.5990000000000001E-2</v>
      </c>
      <c r="I150">
        <f>Karaikal!$D$7</f>
        <v>400</v>
      </c>
      <c r="J150" t="str">
        <f>Karaikal!$E$7</f>
        <v>USD</v>
      </c>
    </row>
    <row r="151" spans="2:10">
      <c r="B151" t="s">
        <v>183</v>
      </c>
      <c r="C151" t="s">
        <v>354</v>
      </c>
      <c r="D151" t="s">
        <v>355</v>
      </c>
      <c r="E151" t="s">
        <v>103</v>
      </c>
      <c r="F151" t="s">
        <v>4</v>
      </c>
      <c r="G151" s="28" t="str">
        <f>Table137[[#This Row],[PORT]]&amp;Table137[[#This Row],[VESSEL TYPE]]&amp;Table137[[#This Row],[VESSEL RUN]]&amp;Table137[[#This Row],[SERVICE]]</f>
        <v>KARAIKALDRY BULKFOREIGNMooring</v>
      </c>
      <c r="H151">
        <f>Karaikal!$C$8</f>
        <v>3.4720000000000001E-2</v>
      </c>
      <c r="I151">
        <f>Karaikal!$D$8</f>
        <v>200</v>
      </c>
      <c r="J151" t="str">
        <f>Karaikal!$E$8</f>
        <v>USD</v>
      </c>
    </row>
    <row r="152" spans="2:10">
      <c r="B152" t="s">
        <v>183</v>
      </c>
      <c r="C152" t="s">
        <v>354</v>
      </c>
      <c r="D152" t="s">
        <v>355</v>
      </c>
      <c r="E152" t="s">
        <v>103</v>
      </c>
      <c r="F152" t="s">
        <v>343</v>
      </c>
      <c r="G152" s="28" t="str">
        <f>Table137[[#This Row],[PORT]]&amp;Table137[[#This Row],[VESSEL TYPE]]&amp;Table137[[#This Row],[VESSEL RUN]]&amp;Table137[[#This Row],[SERVICE]]</f>
        <v>KARAIKALDRY BULKFOREIGNPESP &amp; Dredging</v>
      </c>
      <c r="H152">
        <f>IF($J$2&lt;=10000,Karaikal!$C$9,IF($J$2&lt;=30000,Karaikal!$C$10,Karaikal!$C$11))</f>
        <v>800</v>
      </c>
      <c r="I152">
        <f>Karaikal!$D$9</f>
        <v>0</v>
      </c>
      <c r="J152" t="str">
        <f>Karaikal!$E$9</f>
        <v>USD</v>
      </c>
    </row>
    <row r="153" spans="2:10">
      <c r="B153" t="s">
        <v>183</v>
      </c>
      <c r="C153" t="s">
        <v>354</v>
      </c>
      <c r="D153" t="s">
        <v>140</v>
      </c>
      <c r="E153" t="s">
        <v>103</v>
      </c>
      <c r="F153" t="s">
        <v>0</v>
      </c>
      <c r="G153" s="28" t="str">
        <f>Table137[[#This Row],[PORT]]&amp;Table137[[#This Row],[VESSEL TYPE]]&amp;Table137[[#This Row],[VESSEL RUN]]&amp;Table137[[#This Row],[SERVICE]]</f>
        <v>KARAIKALTANKERFOREIGNPort Dues</v>
      </c>
      <c r="H153">
        <f>Karaikal!$C$3</f>
        <v>0.49</v>
      </c>
      <c r="I153">
        <f>Karaikal!$D$3</f>
        <v>0</v>
      </c>
      <c r="J153" t="str">
        <f>Karaikal!$E$3</f>
        <v>USD</v>
      </c>
    </row>
    <row r="154" spans="2:10">
      <c r="B154" t="s">
        <v>183</v>
      </c>
      <c r="C154" t="s">
        <v>354</v>
      </c>
      <c r="D154" t="s">
        <v>140</v>
      </c>
      <c r="E154" t="s">
        <v>103</v>
      </c>
      <c r="F154" t="s">
        <v>3</v>
      </c>
      <c r="G154" s="28" t="str">
        <f>Table137[[#This Row],[PORT]]&amp;Table137[[#This Row],[VESSEL TYPE]]&amp;Table137[[#This Row],[VESSEL RUN]]&amp;Table137[[#This Row],[SERVICE]]</f>
        <v>KARAIKALTANKERFOREIGNPilotage</v>
      </c>
      <c r="H154">
        <f>IF($J$2&lt;=10000,Karaikal!$C$4,Karaikal!$C$6)</f>
        <v>1.1880999999999999</v>
      </c>
      <c r="I154">
        <f>IF($J$2&lt;=3000,Karaikal!$D$4,IF($J$2&lt;=15000,Karaikal!$D$5,Karaikal!$D$6))</f>
        <v>18000</v>
      </c>
      <c r="J154" t="str">
        <f>Karaikal!$E$4</f>
        <v>USD</v>
      </c>
    </row>
    <row r="155" spans="2:10">
      <c r="B155" t="s">
        <v>183</v>
      </c>
      <c r="C155" t="s">
        <v>354</v>
      </c>
      <c r="D155" t="s">
        <v>140</v>
      </c>
      <c r="E155" t="s">
        <v>103</v>
      </c>
      <c r="F155" t="s">
        <v>7</v>
      </c>
      <c r="G155" s="28" t="str">
        <f>Table137[[#This Row],[PORT]]&amp;Table137[[#This Row],[VESSEL TYPE]]&amp;Table137[[#This Row],[VESSEL RUN]]&amp;Table137[[#This Row],[SERVICE]]</f>
        <v>KARAIKALTANKERFOREIGNBerth Hire</v>
      </c>
      <c r="H155">
        <f>Karaikal!$C$7</f>
        <v>1.5990000000000001E-2</v>
      </c>
      <c r="I155">
        <f>Karaikal!$D$7</f>
        <v>400</v>
      </c>
      <c r="J155" t="str">
        <f>Karaikal!$E$7</f>
        <v>USD</v>
      </c>
    </row>
    <row r="156" spans="2:10">
      <c r="B156" t="s">
        <v>183</v>
      </c>
      <c r="C156" t="s">
        <v>354</v>
      </c>
      <c r="D156" t="s">
        <v>140</v>
      </c>
      <c r="E156" t="s">
        <v>103</v>
      </c>
      <c r="F156" t="s">
        <v>4</v>
      </c>
      <c r="G156" s="28" t="str">
        <f>Table137[[#This Row],[PORT]]&amp;Table137[[#This Row],[VESSEL TYPE]]&amp;Table137[[#This Row],[VESSEL RUN]]&amp;Table137[[#This Row],[SERVICE]]</f>
        <v>KARAIKALTANKERFOREIGNMooring</v>
      </c>
      <c r="H156">
        <f>Karaikal!$C$8</f>
        <v>3.4720000000000001E-2</v>
      </c>
      <c r="I156">
        <f>Karaikal!$D$8</f>
        <v>200</v>
      </c>
      <c r="J156" t="str">
        <f>Karaikal!$E$8</f>
        <v>USD</v>
      </c>
    </row>
    <row r="157" spans="2:10">
      <c r="B157" t="s">
        <v>183</v>
      </c>
      <c r="C157" t="s">
        <v>354</v>
      </c>
      <c r="D157" t="s">
        <v>140</v>
      </c>
      <c r="E157" t="s">
        <v>103</v>
      </c>
      <c r="F157" t="s">
        <v>343</v>
      </c>
      <c r="G157" s="28" t="str">
        <f>Table137[[#This Row],[PORT]]&amp;Table137[[#This Row],[VESSEL TYPE]]&amp;Table137[[#This Row],[VESSEL RUN]]&amp;Table137[[#This Row],[SERVICE]]</f>
        <v>KARAIKALTANKERFOREIGNPESP &amp; Dredging</v>
      </c>
      <c r="H157">
        <f>IF($J$2&lt;=10000,Karaikal!$C$9,IF($J$2&lt;=30000,Karaikal!$C$10,Karaikal!$C$11))</f>
        <v>800</v>
      </c>
      <c r="I157">
        <f>Karaikal!$D$9</f>
        <v>0</v>
      </c>
      <c r="J157" t="str">
        <f>Karaikal!$E$9</f>
        <v>USD</v>
      </c>
    </row>
    <row r="158" spans="2:10">
      <c r="B158" t="s">
        <v>183</v>
      </c>
      <c r="C158" t="s">
        <v>354</v>
      </c>
      <c r="D158" t="s">
        <v>373</v>
      </c>
      <c r="E158" t="s">
        <v>103</v>
      </c>
      <c r="F158" t="s">
        <v>0</v>
      </c>
      <c r="G158" s="28" t="str">
        <f>Table137[[#This Row],[PORT]]&amp;Table137[[#This Row],[VESSEL TYPE]]&amp;Table137[[#This Row],[VESSEL RUN]]&amp;Table137[[#This Row],[SERVICE]]</f>
        <v>KARAIKALBREAK BULKFOREIGNPort Dues</v>
      </c>
      <c r="H158">
        <f>Karaikal!$C$3</f>
        <v>0.49</v>
      </c>
      <c r="I158">
        <f>Karaikal!$D$3</f>
        <v>0</v>
      </c>
      <c r="J158" t="str">
        <f>Karaikal!$E$3</f>
        <v>USD</v>
      </c>
    </row>
    <row r="159" spans="2:10">
      <c r="B159" t="s">
        <v>183</v>
      </c>
      <c r="C159" t="s">
        <v>354</v>
      </c>
      <c r="D159" t="s">
        <v>373</v>
      </c>
      <c r="E159" t="s">
        <v>103</v>
      </c>
      <c r="F159" t="s">
        <v>3</v>
      </c>
      <c r="G159" s="28" t="str">
        <f>Table137[[#This Row],[PORT]]&amp;Table137[[#This Row],[VESSEL TYPE]]&amp;Table137[[#This Row],[VESSEL RUN]]&amp;Table137[[#This Row],[SERVICE]]</f>
        <v>KARAIKALBREAK BULKFOREIGNPilotage</v>
      </c>
      <c r="H159">
        <f>IF($J$2&lt;=10000,Karaikal!$C$4,Karaikal!$C$6)</f>
        <v>1.1880999999999999</v>
      </c>
      <c r="I159">
        <f>IF($J$2&lt;=3000,Karaikal!$D$4,IF($J$2&lt;=15000,Karaikal!$D$5,Karaikal!$D$6))</f>
        <v>18000</v>
      </c>
      <c r="J159" t="str">
        <f>Karaikal!$E$4</f>
        <v>USD</v>
      </c>
    </row>
    <row r="160" spans="2:10">
      <c r="B160" t="s">
        <v>183</v>
      </c>
      <c r="C160" t="s">
        <v>354</v>
      </c>
      <c r="D160" t="s">
        <v>373</v>
      </c>
      <c r="E160" t="s">
        <v>103</v>
      </c>
      <c r="F160" t="s">
        <v>7</v>
      </c>
      <c r="G160" s="28" t="str">
        <f>Table137[[#This Row],[PORT]]&amp;Table137[[#This Row],[VESSEL TYPE]]&amp;Table137[[#This Row],[VESSEL RUN]]&amp;Table137[[#This Row],[SERVICE]]</f>
        <v>KARAIKALBREAK BULKFOREIGNBerth Hire</v>
      </c>
      <c r="H160">
        <f>Karaikal!$C$7</f>
        <v>1.5990000000000001E-2</v>
      </c>
      <c r="I160">
        <f>Karaikal!$D$7</f>
        <v>400</v>
      </c>
      <c r="J160" t="str">
        <f>Karaikal!$E$7</f>
        <v>USD</v>
      </c>
    </row>
    <row r="161" spans="2:10">
      <c r="B161" t="s">
        <v>183</v>
      </c>
      <c r="C161" t="s">
        <v>354</v>
      </c>
      <c r="D161" t="s">
        <v>373</v>
      </c>
      <c r="E161" t="s">
        <v>103</v>
      </c>
      <c r="F161" t="s">
        <v>4</v>
      </c>
      <c r="G161" s="28" t="str">
        <f>Table137[[#This Row],[PORT]]&amp;Table137[[#This Row],[VESSEL TYPE]]&amp;Table137[[#This Row],[VESSEL RUN]]&amp;Table137[[#This Row],[SERVICE]]</f>
        <v>KARAIKALBREAK BULKFOREIGNMooring</v>
      </c>
      <c r="H161">
        <f>Karaikal!$C$8</f>
        <v>3.4720000000000001E-2</v>
      </c>
      <c r="I161">
        <f>Karaikal!$D$8</f>
        <v>200</v>
      </c>
      <c r="J161" t="str">
        <f>Karaikal!$E$8</f>
        <v>USD</v>
      </c>
    </row>
    <row r="162" spans="2:10">
      <c r="B162" t="s">
        <v>183</v>
      </c>
      <c r="C162" t="s">
        <v>354</v>
      </c>
      <c r="D162" t="s">
        <v>373</v>
      </c>
      <c r="E162" t="s">
        <v>103</v>
      </c>
      <c r="F162" t="s">
        <v>343</v>
      </c>
      <c r="G162" s="28" t="str">
        <f>Table137[[#This Row],[PORT]]&amp;Table137[[#This Row],[VESSEL TYPE]]&amp;Table137[[#This Row],[VESSEL RUN]]&amp;Table137[[#This Row],[SERVICE]]</f>
        <v>KARAIKALBREAK BULKFOREIGNPESP &amp; Dredging</v>
      </c>
      <c r="H162">
        <f>IF($J$2&lt;=10000,Karaikal!$C$9,IF($J$2&lt;=30000,Karaikal!$C$10,Karaikal!$C$11))</f>
        <v>800</v>
      </c>
      <c r="I162">
        <f>Karaikal!$D$9</f>
        <v>0</v>
      </c>
      <c r="J162" t="str">
        <f>Karaikal!$E$9</f>
        <v>USD</v>
      </c>
    </row>
    <row r="163" spans="2:10">
      <c r="B163" t="s">
        <v>183</v>
      </c>
      <c r="C163" t="s">
        <v>353</v>
      </c>
      <c r="D163" t="s">
        <v>373</v>
      </c>
      <c r="E163" t="s">
        <v>103</v>
      </c>
      <c r="F163" t="s">
        <v>0</v>
      </c>
      <c r="G163" s="28" t="str">
        <f>Table137[[#This Row],[PORT]]&amp;Table137[[#This Row],[VESSEL TYPE]]&amp;Table137[[#This Row],[VESSEL RUN]]&amp;Table137[[#This Row],[SERVICE]]</f>
        <v>GANGAVARAMBREAK BULKFOREIGNPort Dues</v>
      </c>
      <c r="H163">
        <f>IF($J$2&lt;=45000,GPL!$C$3,GPL!$C$4)</f>
        <v>0.154</v>
      </c>
      <c r="I163">
        <f>IF($J$2&lt;=45000,GPL!$D$3,GPL!$D$4)</f>
        <v>700</v>
      </c>
      <c r="J163" t="str">
        <f>GPL!$E$3</f>
        <v>USD</v>
      </c>
    </row>
    <row r="164" spans="2:10">
      <c r="B164" t="s">
        <v>183</v>
      </c>
      <c r="C164" t="s">
        <v>353</v>
      </c>
      <c r="D164" t="s">
        <v>373</v>
      </c>
      <c r="E164" t="s">
        <v>103</v>
      </c>
      <c r="F164" t="s">
        <v>3</v>
      </c>
      <c r="G164" s="28" t="str">
        <f>Table137[[#This Row],[PORT]]&amp;Table137[[#This Row],[VESSEL TYPE]]&amp;Table137[[#This Row],[VESSEL RUN]]&amp;Table137[[#This Row],[SERVICE]]</f>
        <v>GANGAVARAMBREAK BULKFOREIGNPilotage</v>
      </c>
      <c r="H164">
        <f>IF($J$2&lt;=45000,GPL!$C$5,GPL!$C$6)</f>
        <v>1.5109999999999999</v>
      </c>
      <c r="I164">
        <f>IF($J$2&lt;=5000,GPL!$D$5,IF($J$2&lt;=10000,GPL!$D$6,IF($J$2&lt;=15000,GPL!$D$7,GPL!$D$8)))</f>
        <v>15750</v>
      </c>
      <c r="J164" t="str">
        <f>GPL!$E$6</f>
        <v>USD</v>
      </c>
    </row>
    <row r="165" spans="2:10">
      <c r="B165" t="s">
        <v>183</v>
      </c>
      <c r="C165" t="s">
        <v>353</v>
      </c>
      <c r="D165" t="s">
        <v>373</v>
      </c>
      <c r="E165" t="s">
        <v>103</v>
      </c>
      <c r="F165" t="s">
        <v>7</v>
      </c>
      <c r="G165" s="28" t="str">
        <f>Table137[[#This Row],[PORT]]&amp;Table137[[#This Row],[VESSEL TYPE]]&amp;Table137[[#This Row],[VESSEL RUN]]&amp;Table137[[#This Row],[SERVICE]]</f>
        <v>GANGAVARAMBREAK BULKFOREIGNBerth Hire</v>
      </c>
      <c r="H165">
        <f>IF($J$2&lt;=45000,GPL!$C$9,GPL!$C$10)</f>
        <v>1.2999999999999999E-2</v>
      </c>
      <c r="I165">
        <f>IF($J$2&lt;=45000,GPL!$D$9,GPL!$D$10)</f>
        <v>900</v>
      </c>
      <c r="J165" t="s">
        <v>16</v>
      </c>
    </row>
    <row r="166" spans="2:10">
      <c r="B166" t="s">
        <v>183</v>
      </c>
      <c r="C166" t="s">
        <v>353</v>
      </c>
      <c r="D166" t="s">
        <v>373</v>
      </c>
      <c r="E166" t="s">
        <v>103</v>
      </c>
      <c r="F166" t="s">
        <v>4</v>
      </c>
      <c r="G166" s="28" t="str">
        <f>Table137[[#This Row],[PORT]]&amp;Table137[[#This Row],[VESSEL TYPE]]&amp;Table137[[#This Row],[VESSEL RUN]]&amp;Table137[[#This Row],[SERVICE]]</f>
        <v>GANGAVARAMBREAK BULKFOREIGNMooring</v>
      </c>
      <c r="H166">
        <f>GPL!$C$11</f>
        <v>0.03</v>
      </c>
      <c r="I166">
        <f>GPL!$D$11</f>
        <v>200</v>
      </c>
      <c r="J166" t="str">
        <f>GPL!$E$11</f>
        <v>USD</v>
      </c>
    </row>
    <row r="167" spans="2:10">
      <c r="B167" t="s">
        <v>183</v>
      </c>
      <c r="C167" t="s">
        <v>353</v>
      </c>
      <c r="D167" t="s">
        <v>373</v>
      </c>
      <c r="E167" t="s">
        <v>103</v>
      </c>
      <c r="F167" t="s">
        <v>343</v>
      </c>
      <c r="G167" s="28" t="str">
        <f>Table137[[#This Row],[PORT]]&amp;Table137[[#This Row],[VESSEL TYPE]]&amp;Table137[[#This Row],[VESSEL RUN]]&amp;Table137[[#This Row],[SERVICE]]</f>
        <v>GANGAVARAMBREAK BULKFOREIGNPESP &amp; Dredging</v>
      </c>
      <c r="H167">
        <f>IF($J$2&lt;=10000,GPL!C79,IF($J$2&lt;=30000,GPL!$C$13,GPL!$C$14))</f>
        <v>630</v>
      </c>
      <c r="I167">
        <f>GPL!$D$12</f>
        <v>0</v>
      </c>
      <c r="J167" t="s">
        <v>16</v>
      </c>
    </row>
    <row r="168" spans="2:10">
      <c r="B168" t="s">
        <v>183</v>
      </c>
      <c r="C168" t="s">
        <v>353</v>
      </c>
      <c r="D168" t="s">
        <v>373</v>
      </c>
      <c r="E168" t="s">
        <v>103</v>
      </c>
      <c r="F168" t="s">
        <v>351</v>
      </c>
      <c r="G168" s="28" t="str">
        <f>Table137[[#This Row],[PORT]]&amp;Table137[[#This Row],[VESSEL TYPE]]&amp;Table137[[#This Row],[VESSEL RUN]]&amp;Table137[[#This Row],[SERVICE]]</f>
        <v>GANGAVARAMBREAK BULKFOREIGNSustainability</v>
      </c>
      <c r="H168">
        <f>GPL!$C$15</f>
        <v>5</v>
      </c>
      <c r="I168">
        <f>GPL!$D$15</f>
        <v>0</v>
      </c>
      <c r="J168" t="str">
        <f>GPL!$E$15</f>
        <v>INR</v>
      </c>
    </row>
    <row r="169" spans="2:10">
      <c r="B169" t="s">
        <v>183</v>
      </c>
      <c r="C169" t="s">
        <v>353</v>
      </c>
      <c r="D169" t="s">
        <v>102</v>
      </c>
      <c r="E169" t="s">
        <v>103</v>
      </c>
      <c r="F169" t="s">
        <v>0</v>
      </c>
      <c r="G169" s="28" t="str">
        <f>Table137[[#This Row],[PORT]]&amp;Table137[[#This Row],[VESSEL TYPE]]&amp;Table137[[#This Row],[VESSEL RUN]]&amp;Table137[[#This Row],[SERVICE]]</f>
        <v>GANGAVARAMCONTAINERFOREIGNPort Dues</v>
      </c>
      <c r="H169">
        <f>IF($J$2&lt;=45000,GPL!$C$3,GPL!$C$4)</f>
        <v>0.154</v>
      </c>
      <c r="I169">
        <f>IF($J$2&lt;=45000,GPL!$D$3,GPL!$D$4)</f>
        <v>700</v>
      </c>
      <c r="J169" t="str">
        <f>GPL!$E$3</f>
        <v>USD</v>
      </c>
    </row>
    <row r="170" spans="2:10">
      <c r="B170" t="s">
        <v>183</v>
      </c>
      <c r="C170" t="s">
        <v>353</v>
      </c>
      <c r="D170" t="s">
        <v>102</v>
      </c>
      <c r="E170" t="s">
        <v>103</v>
      </c>
      <c r="F170" t="s">
        <v>3</v>
      </c>
      <c r="G170" s="28" t="str">
        <f>Table137[[#This Row],[PORT]]&amp;Table137[[#This Row],[VESSEL TYPE]]&amp;Table137[[#This Row],[VESSEL RUN]]&amp;Table137[[#This Row],[SERVICE]]</f>
        <v>GANGAVARAMCONTAINERFOREIGNPilotage</v>
      </c>
      <c r="H170">
        <f>IF($J$2&lt;=45000,GPL!$C$5,GPL!$C$6)</f>
        <v>1.5109999999999999</v>
      </c>
      <c r="I170">
        <f>IF($J$2&lt;=5000,GPL!$D$5,IF($J$2&lt;=10000,GPL!$D$6,IF($J$2&lt;=15000,GPL!$D$7,GPL!$D$8)))</f>
        <v>15750</v>
      </c>
      <c r="J170" t="str">
        <f>GPL!$E$6</f>
        <v>USD</v>
      </c>
    </row>
    <row r="171" spans="2:10">
      <c r="B171" t="s">
        <v>183</v>
      </c>
      <c r="C171" t="s">
        <v>353</v>
      </c>
      <c r="D171" t="s">
        <v>102</v>
      </c>
      <c r="E171" t="s">
        <v>103</v>
      </c>
      <c r="F171" t="s">
        <v>7</v>
      </c>
      <c r="G171" s="28" t="str">
        <f>Table137[[#This Row],[PORT]]&amp;Table137[[#This Row],[VESSEL TYPE]]&amp;Table137[[#This Row],[VESSEL RUN]]&amp;Table137[[#This Row],[SERVICE]]</f>
        <v>GANGAVARAMCONTAINERFOREIGNBerth Hire</v>
      </c>
      <c r="H171">
        <f>IF($J$2&lt;=45000,GPL!$C$9,GPL!$C$10)</f>
        <v>1.2999999999999999E-2</v>
      </c>
      <c r="I171">
        <f>IF($J$2&lt;=45000,GPL!$D$9,GPL!$D$10)</f>
        <v>900</v>
      </c>
      <c r="J171" t="s">
        <v>16</v>
      </c>
    </row>
    <row r="172" spans="2:10">
      <c r="B172" t="s">
        <v>183</v>
      </c>
      <c r="C172" t="s">
        <v>353</v>
      </c>
      <c r="D172" t="s">
        <v>102</v>
      </c>
      <c r="E172" t="s">
        <v>103</v>
      </c>
      <c r="F172" t="s">
        <v>4</v>
      </c>
      <c r="G172" s="28" t="str">
        <f>Table137[[#This Row],[PORT]]&amp;Table137[[#This Row],[VESSEL TYPE]]&amp;Table137[[#This Row],[VESSEL RUN]]&amp;Table137[[#This Row],[SERVICE]]</f>
        <v>GANGAVARAMCONTAINERFOREIGNMooring</v>
      </c>
      <c r="H172">
        <f>GPL!$C$11</f>
        <v>0.03</v>
      </c>
      <c r="I172">
        <f>GPL!$D$11</f>
        <v>200</v>
      </c>
      <c r="J172" t="str">
        <f>GPL!$E$11</f>
        <v>USD</v>
      </c>
    </row>
    <row r="173" spans="2:10">
      <c r="B173" t="s">
        <v>183</v>
      </c>
      <c r="C173" t="s">
        <v>353</v>
      </c>
      <c r="D173" t="s">
        <v>102</v>
      </c>
      <c r="E173" t="s">
        <v>103</v>
      </c>
      <c r="F173" t="s">
        <v>343</v>
      </c>
      <c r="G173" s="28" t="str">
        <f>Table137[[#This Row],[PORT]]&amp;Table137[[#This Row],[VESSEL TYPE]]&amp;Table137[[#This Row],[VESSEL RUN]]&amp;Table137[[#This Row],[SERVICE]]</f>
        <v>GANGAVARAMCONTAINERFOREIGNPESP &amp; Dredging</v>
      </c>
      <c r="H173">
        <v>0</v>
      </c>
      <c r="I173">
        <v>0</v>
      </c>
      <c r="J173" t="s">
        <v>16</v>
      </c>
    </row>
    <row r="174" spans="2:10">
      <c r="B174" t="s">
        <v>183</v>
      </c>
      <c r="C174" t="s">
        <v>353</v>
      </c>
      <c r="D174" t="s">
        <v>102</v>
      </c>
      <c r="E174" t="s">
        <v>103</v>
      </c>
      <c r="F174" t="s">
        <v>351</v>
      </c>
      <c r="G174" s="28" t="str">
        <f>Table137[[#This Row],[PORT]]&amp;Table137[[#This Row],[VESSEL TYPE]]&amp;Table137[[#This Row],[VESSEL RUN]]&amp;Table137[[#This Row],[SERVICE]]</f>
        <v>GANGAVARAMCONTAINERFOREIGNSustainability</v>
      </c>
      <c r="H174">
        <f>GPL!$C$15</f>
        <v>5</v>
      </c>
      <c r="I174">
        <f>GPL!$D$15</f>
        <v>0</v>
      </c>
      <c r="J174" t="str">
        <f>GPL!$E$15</f>
        <v>INR</v>
      </c>
    </row>
    <row r="175" spans="2:10">
      <c r="B175" t="s">
        <v>183</v>
      </c>
      <c r="C175" t="s">
        <v>90</v>
      </c>
      <c r="D175" t="s">
        <v>140</v>
      </c>
      <c r="E175" t="s">
        <v>103</v>
      </c>
      <c r="F175" t="s">
        <v>3</v>
      </c>
      <c r="G175" s="28" t="str">
        <f>Table137[[#This Row],[PORT]]&amp;Table137[[#This Row],[VESSEL TYPE]]&amp;Table137[[#This Row],[VESSEL RUN]]&amp;Table137[[#This Row],[SERVICE]]</f>
        <v>KATTUPALLITANKERFOREIGNPilotage</v>
      </c>
      <c r="H175">
        <f>IF($J$2&lt;=3000,Kattupalli!$C$17,IF('Tariff Master'!$J$2&lt;=10000,Kattupalli!$C$18,IF('Tariff Master'!$J$2&lt;=15000,Kattupalli!$C$19,IF('Tariff Master'!$J$2&lt;=30000,Kattupalli!$C$20,IF('Tariff Master'!$J$2&lt;=60000,Kattupalli!$C$21,Kattupalli!$C$22)))))</f>
        <v>0.92900000000000005</v>
      </c>
      <c r="I175">
        <f>IF($J$2&lt;=3000,Kattupalli!$D$17,Kattupalli!$D$18)</f>
        <v>3861</v>
      </c>
      <c r="J175" t="str">
        <f>Kattupalli!$E$17</f>
        <v>USD</v>
      </c>
    </row>
    <row r="176" spans="2:10">
      <c r="B176" t="s">
        <v>183</v>
      </c>
      <c r="C176" t="s">
        <v>90</v>
      </c>
      <c r="D176" t="s">
        <v>140</v>
      </c>
      <c r="E176" t="s">
        <v>103</v>
      </c>
      <c r="F176" t="s">
        <v>7</v>
      </c>
      <c r="G176" s="28" t="str">
        <f>Table137[[#This Row],[PORT]]&amp;Table137[[#This Row],[VESSEL TYPE]]&amp;Table137[[#This Row],[VESSEL RUN]]&amp;Table137[[#This Row],[SERVICE]]</f>
        <v>KATTUPALLITANKERFOREIGNBerth Hire</v>
      </c>
      <c r="H176">
        <f>Kattupalli!$C$31</f>
        <v>5.4000000000000003E-3</v>
      </c>
      <c r="I176">
        <f>Kattupalli!$D$31</f>
        <v>805</v>
      </c>
      <c r="J176" t="str">
        <f>Kattupalli!$E$31</f>
        <v>USD</v>
      </c>
    </row>
    <row r="177" spans="2:10">
      <c r="B177" t="s">
        <v>183</v>
      </c>
      <c r="C177" t="s">
        <v>90</v>
      </c>
      <c r="D177" t="s">
        <v>140</v>
      </c>
      <c r="E177" t="s">
        <v>138</v>
      </c>
      <c r="F177" t="s">
        <v>3</v>
      </c>
      <c r="G177" s="28" t="str">
        <f>Table137[[#This Row],[PORT]]&amp;Table137[[#This Row],[VESSEL TYPE]]&amp;Table137[[#This Row],[VESSEL RUN]]&amp;Table137[[#This Row],[SERVICE]]</f>
        <v>KATTUPALLITANKERCOASTALPilotage</v>
      </c>
      <c r="H177">
        <f>IF($J$2&lt;=3000,Kattupalli!$C$23,IF('Tariff Master'!$J$2&lt;=10000,Kattupalli!$C$24,IF('Tariff Master'!$J$2&lt;=15000,Kattupalli!$C$25,IF('Tariff Master'!$J$2&lt;=30000,Kattupalli!$C$26,IF('Tariff Master'!$J$2&lt;=60000,Kattupalli!$C$27,Kattupalli!$C$28)))))</f>
        <v>22.87</v>
      </c>
      <c r="I177">
        <f>IF($J$2&lt;=3000,Kattupalli!$D$23,Kattupalli!$D$24)</f>
        <v>42887</v>
      </c>
      <c r="J177" t="str">
        <f>Kattupalli!$E$11</f>
        <v>INR</v>
      </c>
    </row>
    <row r="178" spans="2:10">
      <c r="B178" t="s">
        <v>183</v>
      </c>
      <c r="C178" t="s">
        <v>90</v>
      </c>
      <c r="D178" t="s">
        <v>140</v>
      </c>
      <c r="E178" t="s">
        <v>138</v>
      </c>
      <c r="F178" t="s">
        <v>7</v>
      </c>
      <c r="G178" s="28" t="str">
        <f>Table137[[#This Row],[PORT]]&amp;Table137[[#This Row],[VESSEL TYPE]]&amp;Table137[[#This Row],[VESSEL RUN]]&amp;Table137[[#This Row],[SERVICE]]</f>
        <v>KATTUPALLITANKERCOASTALBerth Hire</v>
      </c>
      <c r="H178">
        <f>Kattupalli!$C$32</f>
        <v>0.13</v>
      </c>
      <c r="I178">
        <f>Kattupalli!$D$32</f>
        <v>13420</v>
      </c>
      <c r="J178" t="str">
        <f>Kattupalli!$E$32</f>
        <v>INR</v>
      </c>
    </row>
    <row r="179" spans="2:10">
      <c r="B179" t="s">
        <v>183</v>
      </c>
      <c r="C179" t="s">
        <v>90</v>
      </c>
      <c r="D179" t="s">
        <v>140</v>
      </c>
      <c r="E179" t="s">
        <v>103</v>
      </c>
      <c r="F179" t="s">
        <v>4</v>
      </c>
      <c r="G179" s="28" t="str">
        <f>Table137[[#This Row],[PORT]]&amp;Table137[[#This Row],[VESSEL TYPE]]&amp;Table137[[#This Row],[VESSEL RUN]]&amp;Table137[[#This Row],[SERVICE]]</f>
        <v>KATTUPALLITANKERFOREIGNMooring</v>
      </c>
      <c r="H179">
        <f>Kattupalli!$C$33</f>
        <v>3.5000000000000003E-2</v>
      </c>
      <c r="I179">
        <f>Kattupalli!$D$33</f>
        <v>200</v>
      </c>
      <c r="J179" t="str">
        <f>Kattupalli!$E$33</f>
        <v>USD</v>
      </c>
    </row>
    <row r="180" spans="2:10">
      <c r="B180" t="s">
        <v>183</v>
      </c>
      <c r="C180" t="s">
        <v>90</v>
      </c>
      <c r="D180" t="s">
        <v>140</v>
      </c>
      <c r="E180" t="s">
        <v>138</v>
      </c>
      <c r="F180" t="s">
        <v>4</v>
      </c>
      <c r="G180" s="28" t="str">
        <f>Table137[[#This Row],[PORT]]&amp;Table137[[#This Row],[VESSEL TYPE]]&amp;Table137[[#This Row],[VESSEL RUN]]&amp;Table137[[#This Row],[SERVICE]]</f>
        <v>KATTUPALLITANKERCOASTALMooring</v>
      </c>
      <c r="H180">
        <f>Kattupalli!$C$33</f>
        <v>3.5000000000000003E-2</v>
      </c>
      <c r="I180">
        <f>Kattupalli!$D$33</f>
        <v>200</v>
      </c>
      <c r="J180" t="str">
        <f>Kattupalli!$E$33</f>
        <v>USD</v>
      </c>
    </row>
    <row r="181" spans="2:10">
      <c r="B181" t="s">
        <v>183</v>
      </c>
      <c r="C181" t="s">
        <v>90</v>
      </c>
      <c r="D181" t="s">
        <v>140</v>
      </c>
      <c r="E181" t="s">
        <v>103</v>
      </c>
      <c r="F181" t="s">
        <v>343</v>
      </c>
      <c r="G181" s="28" t="str">
        <f>Table137[[#This Row],[PORT]]&amp;Table137[[#This Row],[VESSEL TYPE]]&amp;Table137[[#This Row],[VESSEL RUN]]&amp;Table137[[#This Row],[SERVICE]]</f>
        <v>KATTUPALLITANKERFOREIGNPESP &amp; Dredging</v>
      </c>
      <c r="H181">
        <f>IF($J$2&lt;=10000,Kattupalli!$C$34,IF($J$2&lt;=30000,Kattupalli!$C$35,Kattupalli!$C$36))</f>
        <v>800</v>
      </c>
      <c r="I181">
        <f>IF($J$2&lt;=10000,Kattupalli!$D$34,IF($J$2&lt;30000,Kattupalli!$D$35,Kattupalli!$D$36))</f>
        <v>0</v>
      </c>
      <c r="J181" t="s">
        <v>16</v>
      </c>
    </row>
    <row r="182" spans="2:10">
      <c r="B182" t="s">
        <v>183</v>
      </c>
      <c r="C182" t="s">
        <v>90</v>
      </c>
      <c r="D182" t="s">
        <v>140</v>
      </c>
      <c r="E182" t="s">
        <v>138</v>
      </c>
      <c r="F182" t="s">
        <v>343</v>
      </c>
      <c r="G182" s="28" t="str">
        <f>Table137[[#This Row],[PORT]]&amp;Table137[[#This Row],[VESSEL TYPE]]&amp;Table137[[#This Row],[VESSEL RUN]]&amp;Table137[[#This Row],[SERVICE]]</f>
        <v>KATTUPALLITANKERCOASTALPESP &amp; Dredging</v>
      </c>
      <c r="H182">
        <f>IF($J$2&lt;=10000,Kattupalli!$C$34,IF($J$2&lt;=30000,Kattupalli!$C$35,Kattupalli!$C$36))</f>
        <v>800</v>
      </c>
      <c r="I182">
        <f>IF($J$2&lt;=10000,Kattupalli!$D$34,IF($J$2&lt;30000,Kattupalli!$D$35,Kattupalli!$D$36))</f>
        <v>0</v>
      </c>
      <c r="J182" t="s">
        <v>16</v>
      </c>
    </row>
    <row r="183" spans="2:10">
      <c r="B183" t="s">
        <v>183</v>
      </c>
      <c r="C183" t="s">
        <v>372</v>
      </c>
      <c r="D183" t="s">
        <v>140</v>
      </c>
      <c r="E183" t="s">
        <v>103</v>
      </c>
      <c r="F183" t="s">
        <v>0</v>
      </c>
      <c r="G183" s="28" t="str">
        <f>Table137[[#This Row],[PORT]]&amp;Table137[[#This Row],[VESSEL TYPE]]&amp;Table137[[#This Row],[VESSEL RUN]]&amp;Table137[[#This Row],[SERVICE]]</f>
        <v>KRISHNAPTNMTANKERFOREIGNPort Dues</v>
      </c>
      <c r="H183">
        <f>Krishnapattnam!$C$4</f>
        <v>0.2</v>
      </c>
      <c r="I183">
        <f>Krishnapattnam!$D$4</f>
        <v>500</v>
      </c>
      <c r="J183" t="s">
        <v>16</v>
      </c>
    </row>
    <row r="184" spans="2:10">
      <c r="B184" t="s">
        <v>183</v>
      </c>
      <c r="C184" t="s">
        <v>372</v>
      </c>
      <c r="D184" t="s">
        <v>140</v>
      </c>
      <c r="E184" t="s">
        <v>103</v>
      </c>
      <c r="F184" t="s">
        <v>3</v>
      </c>
      <c r="G184" s="28" t="str">
        <f>Table137[[#This Row],[PORT]]&amp;Table137[[#This Row],[VESSEL TYPE]]&amp;Table137[[#This Row],[VESSEL RUN]]&amp;Table137[[#This Row],[SERVICE]]</f>
        <v>KRISHNAPTNMTANKERFOREIGNPilotage</v>
      </c>
      <c r="H184">
        <f>IF($J$2&lt;=35000,Krishnapattnam!$C$6,IF($J$2&lt;=45000,Krishnapattnam!$C$7,Krishnapattnam!$C$8))</f>
        <v>1.526</v>
      </c>
      <c r="I184">
        <v>0</v>
      </c>
      <c r="J184" t="s">
        <v>16</v>
      </c>
    </row>
    <row r="185" spans="2:10">
      <c r="B185" t="s">
        <v>183</v>
      </c>
      <c r="C185" t="s">
        <v>372</v>
      </c>
      <c r="D185" t="s">
        <v>140</v>
      </c>
      <c r="E185" t="s">
        <v>103</v>
      </c>
      <c r="F185" t="s">
        <v>7</v>
      </c>
      <c r="G185" s="28" t="str">
        <f>Table137[[#This Row],[PORT]]&amp;Table137[[#This Row],[VESSEL TYPE]]&amp;Table137[[#This Row],[VESSEL RUN]]&amp;Table137[[#This Row],[SERVICE]]</f>
        <v>KRISHNAPTNMTANKERFOREIGNBerth Hire</v>
      </c>
      <c r="H185">
        <f>Krishnapattnam!$C$25</f>
        <v>0.01</v>
      </c>
      <c r="I185">
        <f>Krishnapattnam!$D$25</f>
        <v>500</v>
      </c>
      <c r="J185" t="s">
        <v>16</v>
      </c>
    </row>
    <row r="186" spans="2:10">
      <c r="B186" t="s">
        <v>183</v>
      </c>
      <c r="C186" t="s">
        <v>372</v>
      </c>
      <c r="D186" t="s">
        <v>140</v>
      </c>
      <c r="E186" t="s">
        <v>103</v>
      </c>
      <c r="F186" t="s">
        <v>4</v>
      </c>
      <c r="G186" s="28" t="str">
        <f>Table137[[#This Row],[PORT]]&amp;Table137[[#This Row],[VESSEL TYPE]]&amp;Table137[[#This Row],[VESSEL RUN]]&amp;Table137[[#This Row],[SERVICE]]</f>
        <v>KRISHNAPTNMTANKERFOREIGNMooring</v>
      </c>
      <c r="H186">
        <f>Krishnapattnam!$C$26</f>
        <v>3.4720000000000001E-2</v>
      </c>
      <c r="I186">
        <f>Krishnapattnam!$D$26</f>
        <v>200</v>
      </c>
      <c r="J186" t="s">
        <v>16</v>
      </c>
    </row>
    <row r="187" spans="2:10">
      <c r="B187" t="s">
        <v>183</v>
      </c>
      <c r="C187" t="s">
        <v>372</v>
      </c>
      <c r="D187" t="s">
        <v>140</v>
      </c>
      <c r="E187" t="s">
        <v>103</v>
      </c>
      <c r="F187" t="s">
        <v>343</v>
      </c>
      <c r="G187" s="28" t="str">
        <f>Table137[[#This Row],[PORT]]&amp;Table137[[#This Row],[VESSEL TYPE]]&amp;Table137[[#This Row],[VESSEL RUN]]&amp;Table137[[#This Row],[SERVICE]]</f>
        <v>KRISHNAPTNMTANKERFOREIGNPESP &amp; Dredging</v>
      </c>
      <c r="H187">
        <f>Krishnapattnam!$C$27</f>
        <v>2.6270999999999999E-2</v>
      </c>
      <c r="I187">
        <f>Krishnapattnam!$D$27</f>
        <v>0</v>
      </c>
      <c r="J187" t="str">
        <f>Krishnapattnam!$E$27</f>
        <v>USD</v>
      </c>
    </row>
    <row r="188" spans="2:10">
      <c r="B188" t="s">
        <v>183</v>
      </c>
      <c r="C188" t="s">
        <v>372</v>
      </c>
      <c r="D188" t="s">
        <v>140</v>
      </c>
      <c r="E188" t="s">
        <v>138</v>
      </c>
      <c r="F188" t="s">
        <v>0</v>
      </c>
      <c r="G188" s="28" t="str">
        <f>Table137[[#This Row],[PORT]]&amp;Table137[[#This Row],[VESSEL TYPE]]&amp;Table137[[#This Row],[VESSEL RUN]]&amp;Table137[[#This Row],[SERVICE]]</f>
        <v>KRISHNAPTNMTANKERCOASTALPort Dues</v>
      </c>
      <c r="H188">
        <f>Krishnapattnam!$C$5</f>
        <v>0.09</v>
      </c>
      <c r="I188">
        <f>Krishnapattnam!$D$5</f>
        <v>500</v>
      </c>
      <c r="J188" t="s">
        <v>16</v>
      </c>
    </row>
    <row r="189" spans="2:10">
      <c r="B189" t="s">
        <v>183</v>
      </c>
      <c r="C189" t="s">
        <v>372</v>
      </c>
      <c r="D189" t="s">
        <v>140</v>
      </c>
      <c r="E189" t="s">
        <v>138</v>
      </c>
      <c r="F189" t="s">
        <v>3</v>
      </c>
      <c r="G189" s="28" t="str">
        <f>Table137[[#This Row],[PORT]]&amp;Table137[[#This Row],[VESSEL TYPE]]&amp;Table137[[#This Row],[VESSEL RUN]]&amp;Table137[[#This Row],[SERVICE]]</f>
        <v>KRISHNAPTNMTANKERCOASTALPilotage</v>
      </c>
      <c r="H189">
        <f>IF($J$2&lt;=35000,Krishnapattnam!$C$6,IF($J$2&lt;=45000,Krishnapattnam!$C$7,Krishnapattnam!$C$8))</f>
        <v>1.526</v>
      </c>
      <c r="I189">
        <v>0</v>
      </c>
      <c r="J189" t="s">
        <v>16</v>
      </c>
    </row>
    <row r="190" spans="2:10">
      <c r="B190" t="s">
        <v>183</v>
      </c>
      <c r="C190" t="s">
        <v>372</v>
      </c>
      <c r="D190" t="s">
        <v>140</v>
      </c>
      <c r="E190" t="s">
        <v>138</v>
      </c>
      <c r="F190" t="s">
        <v>7</v>
      </c>
      <c r="G190" s="28" t="str">
        <f>Table137[[#This Row],[PORT]]&amp;Table137[[#This Row],[VESSEL TYPE]]&amp;Table137[[#This Row],[VESSEL RUN]]&amp;Table137[[#This Row],[SERVICE]]</f>
        <v>KRISHNAPTNMTANKERCOASTALBerth Hire</v>
      </c>
      <c r="H190">
        <f>Krishnapattnam!$C$25</f>
        <v>0.01</v>
      </c>
      <c r="I190">
        <f>Krishnapattnam!$D$25</f>
        <v>500</v>
      </c>
      <c r="J190" t="s">
        <v>16</v>
      </c>
    </row>
    <row r="191" spans="2:10">
      <c r="B191" t="s">
        <v>183</v>
      </c>
      <c r="C191" t="s">
        <v>372</v>
      </c>
      <c r="D191" t="s">
        <v>140</v>
      </c>
      <c r="E191" t="s">
        <v>138</v>
      </c>
      <c r="F191" t="s">
        <v>4</v>
      </c>
      <c r="G191" s="28" t="str">
        <f>Table137[[#This Row],[PORT]]&amp;Table137[[#This Row],[VESSEL TYPE]]&amp;Table137[[#This Row],[VESSEL RUN]]&amp;Table137[[#This Row],[SERVICE]]</f>
        <v>KRISHNAPTNMTANKERCOASTALMooring</v>
      </c>
      <c r="H191">
        <f>Krishnapattnam!$C$26</f>
        <v>3.4720000000000001E-2</v>
      </c>
      <c r="I191">
        <f>Krishnapattnam!$D$26</f>
        <v>200</v>
      </c>
      <c r="J191" t="s">
        <v>16</v>
      </c>
    </row>
    <row r="192" spans="2:10">
      <c r="B192" t="s">
        <v>183</v>
      </c>
      <c r="C192" t="s">
        <v>372</v>
      </c>
      <c r="D192" t="s">
        <v>140</v>
      </c>
      <c r="E192" t="s">
        <v>138</v>
      </c>
      <c r="F192" t="s">
        <v>343</v>
      </c>
      <c r="G192" s="28" t="str">
        <f>Table137[[#This Row],[PORT]]&amp;Table137[[#This Row],[VESSEL TYPE]]&amp;Table137[[#This Row],[VESSEL RUN]]&amp;Table137[[#This Row],[SERVICE]]</f>
        <v>KRISHNAPTNMTANKERCOASTALPESP &amp; Dredging</v>
      </c>
      <c r="H192">
        <f>Krishnapattnam!$C$27</f>
        <v>2.6270999999999999E-2</v>
      </c>
      <c r="I192">
        <f>Krishnapattnam!$D$27</f>
        <v>0</v>
      </c>
      <c r="J192" t="str">
        <f>Krishnapattnam!$E$27</f>
        <v>USD</v>
      </c>
    </row>
    <row r="193" spans="2:10">
      <c r="B193" t="s">
        <v>183</v>
      </c>
      <c r="C193" t="s">
        <v>372</v>
      </c>
      <c r="D193" t="s">
        <v>140</v>
      </c>
      <c r="E193" t="s">
        <v>138</v>
      </c>
      <c r="F193" t="s">
        <v>351</v>
      </c>
      <c r="G193" s="28" t="str">
        <f>Table137[[#This Row],[PORT]]&amp;Table137[[#This Row],[VESSEL TYPE]]&amp;Table137[[#This Row],[VESSEL RUN]]&amp;Table137[[#This Row],[SERVICE]]</f>
        <v>KRISHNAPTNMTANKERCOASTALSustainability</v>
      </c>
      <c r="H193">
        <f>Krishnapattnam!$C$33</f>
        <v>0.115</v>
      </c>
      <c r="I193">
        <f>Krishnapattnam!$D$33</f>
        <v>0</v>
      </c>
      <c r="J193" t="str">
        <f>Krishnapattnam!$E$33</f>
        <v>USD</v>
      </c>
    </row>
    <row r="194" spans="2:10">
      <c r="B194" t="s">
        <v>183</v>
      </c>
      <c r="C194" t="s">
        <v>372</v>
      </c>
      <c r="D194" t="s">
        <v>140</v>
      </c>
      <c r="E194" t="s">
        <v>103</v>
      </c>
      <c r="F194" t="s">
        <v>351</v>
      </c>
      <c r="G194" s="28" t="str">
        <f>Table137[[#This Row],[PORT]]&amp;Table137[[#This Row],[VESSEL TYPE]]&amp;Table137[[#This Row],[VESSEL RUN]]&amp;Table137[[#This Row],[SERVICE]]</f>
        <v>KRISHNAPTNMTANKERFOREIGNSustainability</v>
      </c>
      <c r="H194">
        <f>Krishnapattnam!$C$33</f>
        <v>0.115</v>
      </c>
      <c r="I194">
        <f>Krishnapattnam!$D$33</f>
        <v>0</v>
      </c>
      <c r="J194" t="str">
        <f>Krishnapattnam!$E$33</f>
        <v>USD</v>
      </c>
    </row>
  </sheetData>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28C6-77C2-4085-803D-CC7F4920215A}">
  <dimension ref="A1:Y202"/>
  <sheetViews>
    <sheetView zoomScale="80" zoomScaleNormal="80" workbookViewId="0">
      <selection activeCell="O36" sqref="O36"/>
    </sheetView>
  </sheetViews>
  <sheetFormatPr defaultRowHeight="14.4"/>
  <cols>
    <col min="1" max="1" width="13" bestFit="1" customWidth="1"/>
    <col min="2" max="2" width="11.33203125" bestFit="1" customWidth="1"/>
    <col min="3" max="3" width="24" bestFit="1" customWidth="1"/>
    <col min="4" max="4" width="13.88671875" bestFit="1" customWidth="1"/>
    <col min="5" max="5" width="15.21875" bestFit="1" customWidth="1"/>
    <col min="6" max="6" width="12" bestFit="1" customWidth="1"/>
    <col min="7" max="7" width="18.33203125" bestFit="1" customWidth="1"/>
    <col min="8" max="9" width="4.33203125" customWidth="1"/>
    <col min="10" max="10" width="29.77734375" customWidth="1"/>
    <col min="11" max="11" width="11.44140625" bestFit="1" customWidth="1"/>
    <col min="12" max="12" width="14" customWidth="1"/>
    <col min="13" max="13" width="13.6640625" customWidth="1"/>
    <col min="14" max="14" width="10.33203125" customWidth="1"/>
    <col min="15" max="15" width="12.33203125" bestFit="1" customWidth="1"/>
    <col min="16" max="16" width="11.5546875" bestFit="1" customWidth="1"/>
    <col min="18" max="18" width="11.21875" bestFit="1" customWidth="1"/>
    <col min="19" max="19" width="14.109375" customWidth="1"/>
    <col min="20" max="20" width="14.44140625" customWidth="1"/>
    <col min="21" max="21" width="7.44140625" bestFit="1" customWidth="1"/>
    <col min="24" max="24" width="10.109375" customWidth="1"/>
    <col min="25" max="26" width="11.5546875" bestFit="1" customWidth="1"/>
    <col min="28" max="28" width="11.6640625" bestFit="1" customWidth="1"/>
    <col min="29" max="30" width="14.5546875" bestFit="1" customWidth="1"/>
  </cols>
  <sheetData>
    <row r="1" spans="1:25">
      <c r="R1" t="s">
        <v>84</v>
      </c>
      <c r="S1" t="s">
        <v>207</v>
      </c>
      <c r="T1" t="s">
        <v>208</v>
      </c>
      <c r="U1" t="s">
        <v>206</v>
      </c>
      <c r="X1">
        <f>'Vessel Dues Calculator'!G6</f>
        <v>80000</v>
      </c>
      <c r="Y1" t="s">
        <v>188</v>
      </c>
    </row>
    <row r="2" spans="1:25">
      <c r="R2" t="s">
        <v>74</v>
      </c>
      <c r="S2" s="41" t="str">
        <f>'Vessel Dues Calculator'!AJ4</f>
        <v>DRY BULK</v>
      </c>
      <c r="T2" s="41" t="str">
        <f>'Vessel Dues Calculator'!AL4</f>
        <v>FOREIGN</v>
      </c>
      <c r="U2" s="135">
        <f t="shared" ref="U2:U10" si="0">(SUMIFS(W:W,K:K,R2,L:L,S2,M:M,T2))</f>
        <v>0.86496955999999992</v>
      </c>
      <c r="X2">
        <f>'Vessel Dues Calculator'!G7</f>
        <v>23</v>
      </c>
      <c r="Y2" t="s">
        <v>189</v>
      </c>
    </row>
    <row r="3" spans="1:25">
      <c r="R3" t="s">
        <v>88</v>
      </c>
      <c r="S3" t="str">
        <f>$S$2</f>
        <v>DRY BULK</v>
      </c>
      <c r="T3" t="str">
        <f>$T$2</f>
        <v>FOREIGN</v>
      </c>
      <c r="U3" s="135">
        <f t="shared" si="0"/>
        <v>1.0509792000000002</v>
      </c>
      <c r="X3">
        <f>'Vessel Dues Calculator'!G8</f>
        <v>83</v>
      </c>
      <c r="Y3" t="s">
        <v>190</v>
      </c>
    </row>
    <row r="4" spans="1:25">
      <c r="R4" t="s">
        <v>76</v>
      </c>
      <c r="S4" t="str">
        <f t="shared" ref="S4:S10" si="1">$S$2</f>
        <v>DRY BULK</v>
      </c>
      <c r="T4" t="str">
        <f t="shared" ref="T4:T10" si="2">$T$2</f>
        <v>FOREIGN</v>
      </c>
      <c r="U4" s="135">
        <f t="shared" si="0"/>
        <v>1.0684689599999999</v>
      </c>
    </row>
    <row r="5" spans="1:25">
      <c r="R5" t="s">
        <v>89</v>
      </c>
      <c r="S5" t="str">
        <f t="shared" si="1"/>
        <v>DRY BULK</v>
      </c>
      <c r="T5" t="str">
        <f t="shared" si="2"/>
        <v>FOREIGN</v>
      </c>
      <c r="U5" s="135">
        <f t="shared" si="0"/>
        <v>1.7118756639999997</v>
      </c>
    </row>
    <row r="6" spans="1:25">
      <c r="R6" t="s">
        <v>90</v>
      </c>
      <c r="S6" t="str">
        <f t="shared" si="1"/>
        <v>DRY BULK</v>
      </c>
      <c r="T6" t="str">
        <f t="shared" si="2"/>
        <v>FOREIGN</v>
      </c>
      <c r="U6" s="135">
        <f t="shared" si="0"/>
        <v>0.72920479999999999</v>
      </c>
    </row>
    <row r="7" spans="1:25">
      <c r="R7" t="s">
        <v>372</v>
      </c>
      <c r="S7" t="str">
        <f t="shared" si="1"/>
        <v>DRY BULK</v>
      </c>
      <c r="T7" t="str">
        <f t="shared" si="2"/>
        <v>FOREIGN</v>
      </c>
      <c r="U7" s="135">
        <f t="shared" si="0"/>
        <v>1.3981982980493</v>
      </c>
    </row>
    <row r="8" spans="1:25">
      <c r="R8" t="s">
        <v>97</v>
      </c>
      <c r="S8" t="str">
        <f t="shared" si="1"/>
        <v>DRY BULK</v>
      </c>
      <c r="T8" t="str">
        <f t="shared" si="2"/>
        <v>FOREIGN</v>
      </c>
      <c r="U8" s="135">
        <f t="shared" si="0"/>
        <v>1.1671128</v>
      </c>
    </row>
    <row r="9" spans="1:25">
      <c r="R9" t="s">
        <v>353</v>
      </c>
      <c r="S9" t="str">
        <f t="shared" si="1"/>
        <v>DRY BULK</v>
      </c>
      <c r="T9" t="str">
        <f t="shared" si="2"/>
        <v>FOREIGN</v>
      </c>
      <c r="U9" s="135">
        <f t="shared" si="0"/>
        <v>1.3692449999999996</v>
      </c>
    </row>
    <row r="10" spans="1:25">
      <c r="R10" t="s">
        <v>354</v>
      </c>
      <c r="S10" t="str">
        <f t="shared" si="1"/>
        <v>DRY BULK</v>
      </c>
      <c r="T10" t="str">
        <f t="shared" si="2"/>
        <v>FOREIGN</v>
      </c>
      <c r="U10" s="135">
        <f t="shared" si="0"/>
        <v>1.38815176</v>
      </c>
    </row>
    <row r="12" spans="1:25">
      <c r="A12" s="1" t="s">
        <v>182</v>
      </c>
      <c r="B12" s="1" t="s">
        <v>84</v>
      </c>
      <c r="C12" s="1" t="s">
        <v>75</v>
      </c>
      <c r="D12" s="1" t="s">
        <v>104</v>
      </c>
      <c r="E12" s="1" t="s">
        <v>6</v>
      </c>
      <c r="F12" t="s">
        <v>186</v>
      </c>
      <c r="G12" t="s">
        <v>187</v>
      </c>
      <c r="J12" s="44" t="s">
        <v>192</v>
      </c>
      <c r="K12" s="44" t="s">
        <v>84</v>
      </c>
      <c r="L12" s="44" t="s">
        <v>75</v>
      </c>
      <c r="M12" s="44" t="s">
        <v>104</v>
      </c>
      <c r="N12" s="44" t="s">
        <v>6</v>
      </c>
      <c r="O12" s="44" t="s">
        <v>188</v>
      </c>
      <c r="P12" s="44" t="s">
        <v>2</v>
      </c>
      <c r="Q12" s="44" t="s">
        <v>198</v>
      </c>
      <c r="R12" s="44" t="s">
        <v>196</v>
      </c>
      <c r="S12" s="44" t="s">
        <v>8</v>
      </c>
      <c r="T12" s="44" t="s">
        <v>194</v>
      </c>
      <c r="U12" s="44" t="s">
        <v>199</v>
      </c>
      <c r="V12" s="44" t="s">
        <v>195</v>
      </c>
      <c r="W12" s="44" t="s">
        <v>197</v>
      </c>
    </row>
    <row r="13" spans="1:25">
      <c r="A13" t="s">
        <v>183</v>
      </c>
      <c r="B13" t="s">
        <v>76</v>
      </c>
      <c r="C13" t="s">
        <v>355</v>
      </c>
      <c r="D13" t="s">
        <v>103</v>
      </c>
      <c r="E13" t="s">
        <v>7</v>
      </c>
      <c r="F13" s="28">
        <v>9.7000000000000003E-3</v>
      </c>
      <c r="G13" s="28">
        <v>1000</v>
      </c>
      <c r="J13" t="str">
        <f>K13&amp;L13&amp;M13&amp;N13</f>
        <v>DAHEJDRY BULKFOREIGNBerth Hire</v>
      </c>
      <c r="K13" s="41" t="str">
        <f>B13</f>
        <v>DAHEJ</v>
      </c>
      <c r="L13" s="41" t="str">
        <f>C13</f>
        <v>DRY BULK</v>
      </c>
      <c r="M13" s="41" t="str">
        <f>D13</f>
        <v>FOREIGN</v>
      </c>
      <c r="N13" s="41" t="str">
        <f>E13</f>
        <v>Berth Hire</v>
      </c>
      <c r="O13">
        <f t="shared" ref="O13:O46" si="3">IF(N13="PESP &amp; Dredging",1,$X$1)</f>
        <v>80000</v>
      </c>
      <c r="P13" s="40">
        <f>IFERROR(VLOOKUP(J13,'Tariff Master'!G:J,2,0),0)</f>
        <v>9.7000000000000003E-3</v>
      </c>
      <c r="Q13">
        <f t="shared" ref="Q13:Q44" si="4">IF(N13="Berth Hire",$X$2,1)</f>
        <v>23</v>
      </c>
      <c r="R13" s="45">
        <f t="shared" ref="R13:R44" si="5">MAX(O13*P13*IF(N13="Berth Hire",Q13,1),S13)</f>
        <v>17848</v>
      </c>
      <c r="S13">
        <f>IFERROR(VLOOKUP(J13,'Tariff Master'!G:J,3,0),0)</f>
        <v>1000</v>
      </c>
      <c r="T13" t="str">
        <f>IFERROR(VLOOKUP(J13,'Tariff Master'!G:J,4,0),0)</f>
        <v>USD</v>
      </c>
      <c r="V13">
        <f t="shared" ref="V13:V44" si="6">$X$3</f>
        <v>83</v>
      </c>
      <c r="W13" s="46">
        <f t="shared" ref="W13:W44" si="7">R13*IF(T13="USD",V13,1)/10^7</f>
        <v>0.1481384</v>
      </c>
    </row>
    <row r="14" spans="1:25">
      <c r="A14" t="s">
        <v>183</v>
      </c>
      <c r="B14" t="s">
        <v>76</v>
      </c>
      <c r="C14" t="s">
        <v>355</v>
      </c>
      <c r="D14" t="s">
        <v>103</v>
      </c>
      <c r="E14" t="s">
        <v>4</v>
      </c>
      <c r="F14" s="28">
        <v>3.4720000000000001E-2</v>
      </c>
      <c r="G14" s="28">
        <v>200</v>
      </c>
      <c r="J14" t="str">
        <f t="shared" ref="J14:J52" si="8">K14&amp;L14&amp;M14&amp;N14</f>
        <v>DAHEJDRY BULKFOREIGNMooring</v>
      </c>
      <c r="K14" s="41" t="str">
        <f t="shared" ref="K14:K52" si="9">B14</f>
        <v>DAHEJ</v>
      </c>
      <c r="L14" s="41" t="str">
        <f t="shared" ref="L14:L52" si="10">C14</f>
        <v>DRY BULK</v>
      </c>
      <c r="M14" s="41" t="str">
        <f t="shared" ref="M14:M52" si="11">D14</f>
        <v>FOREIGN</v>
      </c>
      <c r="N14" s="41" t="str">
        <f t="shared" ref="N14:N52" si="12">E14</f>
        <v>Mooring</v>
      </c>
      <c r="O14">
        <f t="shared" si="3"/>
        <v>80000</v>
      </c>
      <c r="P14" s="40">
        <f>IFERROR(VLOOKUP(J14,'Tariff Master'!G:J,2,0),0)</f>
        <v>3.4720000000000001E-2</v>
      </c>
      <c r="Q14">
        <f t="shared" si="4"/>
        <v>1</v>
      </c>
      <c r="R14" s="45">
        <f t="shared" si="5"/>
        <v>2777.6</v>
      </c>
      <c r="S14">
        <f>IFERROR(VLOOKUP(J14,'Tariff Master'!G:J,3,0),0)</f>
        <v>200</v>
      </c>
      <c r="T14" t="str">
        <f>IFERROR(VLOOKUP(J14,'Tariff Master'!G:J,4,0),0)</f>
        <v>USD</v>
      </c>
      <c r="V14">
        <f t="shared" si="6"/>
        <v>83</v>
      </c>
      <c r="W14" s="46">
        <f t="shared" si="7"/>
        <v>2.3054079999999998E-2</v>
      </c>
    </row>
    <row r="15" spans="1:25">
      <c r="A15" t="s">
        <v>183</v>
      </c>
      <c r="B15" t="s">
        <v>76</v>
      </c>
      <c r="C15" t="s">
        <v>355</v>
      </c>
      <c r="D15" t="s">
        <v>103</v>
      </c>
      <c r="E15" t="s">
        <v>343</v>
      </c>
      <c r="F15" s="28">
        <v>1.2500000000000001E-2</v>
      </c>
      <c r="G15" s="28">
        <v>100</v>
      </c>
      <c r="J15" t="str">
        <f t="shared" si="8"/>
        <v>DAHEJDRY BULKFOREIGNPESP &amp; Dredging</v>
      </c>
      <c r="K15" s="41" t="str">
        <f t="shared" si="9"/>
        <v>DAHEJ</v>
      </c>
      <c r="L15" s="41" t="str">
        <f t="shared" si="10"/>
        <v>DRY BULK</v>
      </c>
      <c r="M15" s="41" t="str">
        <f t="shared" si="11"/>
        <v>FOREIGN</v>
      </c>
      <c r="N15" s="41" t="str">
        <f t="shared" si="12"/>
        <v>PESP &amp; Dredging</v>
      </c>
      <c r="O15">
        <f t="shared" si="3"/>
        <v>1</v>
      </c>
      <c r="P15" s="40">
        <f>IFERROR(VLOOKUP(J15,'Tariff Master'!G:J,2,0),0)</f>
        <v>1.2500000000000001E-2</v>
      </c>
      <c r="Q15">
        <f t="shared" si="4"/>
        <v>1</v>
      </c>
      <c r="R15" s="45">
        <f t="shared" si="5"/>
        <v>100</v>
      </c>
      <c r="S15">
        <f>IFERROR(VLOOKUP(J15,'Tariff Master'!G:J,3,0),0)</f>
        <v>100</v>
      </c>
      <c r="T15" t="str">
        <f>IFERROR(VLOOKUP(J15,'Tariff Master'!G:J,4,0),0)</f>
        <v>USD</v>
      </c>
      <c r="V15">
        <f t="shared" si="6"/>
        <v>83</v>
      </c>
      <c r="W15" s="46">
        <f t="shared" si="7"/>
        <v>8.3000000000000001E-4</v>
      </c>
    </row>
    <row r="16" spans="1:25">
      <c r="A16" t="s">
        <v>183</v>
      </c>
      <c r="B16" t="s">
        <v>76</v>
      </c>
      <c r="C16" t="s">
        <v>355</v>
      </c>
      <c r="D16" t="s">
        <v>103</v>
      </c>
      <c r="E16" t="s">
        <v>3</v>
      </c>
      <c r="F16" s="28">
        <v>1.0170699999999999</v>
      </c>
      <c r="G16" s="28">
        <v>1000</v>
      </c>
      <c r="J16" t="str">
        <f t="shared" si="8"/>
        <v>DAHEJDRY BULKFOREIGNPilotage</v>
      </c>
      <c r="K16" s="41" t="str">
        <f t="shared" si="9"/>
        <v>DAHEJ</v>
      </c>
      <c r="L16" s="41" t="str">
        <f t="shared" si="10"/>
        <v>DRY BULK</v>
      </c>
      <c r="M16" s="41" t="str">
        <f t="shared" si="11"/>
        <v>FOREIGN</v>
      </c>
      <c r="N16" s="41" t="str">
        <f t="shared" si="12"/>
        <v>Pilotage</v>
      </c>
      <c r="O16">
        <f t="shared" si="3"/>
        <v>80000</v>
      </c>
      <c r="P16" s="40">
        <f>IFERROR(VLOOKUP(J16,'Tariff Master'!G:J,2,0),0)</f>
        <v>1.0170699999999999</v>
      </c>
      <c r="Q16">
        <f t="shared" si="4"/>
        <v>1</v>
      </c>
      <c r="R16" s="45">
        <f t="shared" si="5"/>
        <v>81365.599999999991</v>
      </c>
      <c r="S16">
        <f>IFERROR(VLOOKUP(J16,'Tariff Master'!G:J,3,0),0)</f>
        <v>1000</v>
      </c>
      <c r="T16" t="str">
        <f>IFERROR(VLOOKUP(J16,'Tariff Master'!G:J,4,0),0)</f>
        <v>USD</v>
      </c>
      <c r="V16">
        <f t="shared" si="6"/>
        <v>83</v>
      </c>
      <c r="W16" s="46">
        <f t="shared" si="7"/>
        <v>0.67533447999999985</v>
      </c>
    </row>
    <row r="17" spans="1:23">
      <c r="A17" t="s">
        <v>183</v>
      </c>
      <c r="B17" t="s">
        <v>76</v>
      </c>
      <c r="C17" t="s">
        <v>355</v>
      </c>
      <c r="D17" t="s">
        <v>103</v>
      </c>
      <c r="E17" t="s">
        <v>0</v>
      </c>
      <c r="F17" s="28">
        <v>0.33300000000000002</v>
      </c>
      <c r="G17" s="28">
        <v>1200</v>
      </c>
      <c r="J17" t="str">
        <f t="shared" si="8"/>
        <v>DAHEJDRY BULKFOREIGNPort Dues</v>
      </c>
      <c r="K17" s="41" t="str">
        <f t="shared" si="9"/>
        <v>DAHEJ</v>
      </c>
      <c r="L17" s="41" t="str">
        <f t="shared" si="10"/>
        <v>DRY BULK</v>
      </c>
      <c r="M17" s="41" t="str">
        <f t="shared" si="11"/>
        <v>FOREIGN</v>
      </c>
      <c r="N17" s="41" t="str">
        <f t="shared" si="12"/>
        <v>Port Dues</v>
      </c>
      <c r="O17">
        <f t="shared" si="3"/>
        <v>80000</v>
      </c>
      <c r="P17" s="40">
        <f>IFERROR(VLOOKUP(J17,'Tariff Master'!G:J,2,0),0)</f>
        <v>0.33300000000000002</v>
      </c>
      <c r="Q17">
        <f t="shared" si="4"/>
        <v>1</v>
      </c>
      <c r="R17" s="45">
        <f t="shared" si="5"/>
        <v>26640</v>
      </c>
      <c r="S17">
        <f>IFERROR(VLOOKUP(J17,'Tariff Master'!G:J,3,0),0)</f>
        <v>1200</v>
      </c>
      <c r="T17" t="str">
        <f>IFERROR(VLOOKUP(J17,'Tariff Master'!G:J,4,0),0)</f>
        <v>USD</v>
      </c>
      <c r="V17">
        <f t="shared" si="6"/>
        <v>83</v>
      </c>
      <c r="W17" s="46">
        <f t="shared" si="7"/>
        <v>0.221112</v>
      </c>
    </row>
    <row r="18" spans="1:23">
      <c r="A18" t="s">
        <v>183</v>
      </c>
      <c r="B18" t="s">
        <v>76</v>
      </c>
      <c r="C18" t="s">
        <v>373</v>
      </c>
      <c r="D18" t="s">
        <v>103</v>
      </c>
      <c r="E18" t="s">
        <v>7</v>
      </c>
      <c r="F18" s="28">
        <v>2.1340000000000001E-2</v>
      </c>
      <c r="G18" s="28">
        <v>1000</v>
      </c>
      <c r="J18" t="str">
        <f t="shared" si="8"/>
        <v>DAHEJBREAK BULKFOREIGNBerth Hire</v>
      </c>
      <c r="K18" s="41" t="str">
        <f t="shared" si="9"/>
        <v>DAHEJ</v>
      </c>
      <c r="L18" s="41" t="str">
        <f t="shared" si="10"/>
        <v>BREAK BULK</v>
      </c>
      <c r="M18" s="41" t="str">
        <f t="shared" si="11"/>
        <v>FOREIGN</v>
      </c>
      <c r="N18" s="41" t="str">
        <f t="shared" si="12"/>
        <v>Berth Hire</v>
      </c>
      <c r="O18">
        <f t="shared" si="3"/>
        <v>80000</v>
      </c>
      <c r="P18" s="40">
        <f>IFERROR(VLOOKUP(J18,'Tariff Master'!G:J,2,0),0)</f>
        <v>2.1340000000000001E-2</v>
      </c>
      <c r="Q18">
        <f t="shared" si="4"/>
        <v>23</v>
      </c>
      <c r="R18" s="45">
        <f t="shared" si="5"/>
        <v>39265.599999999999</v>
      </c>
      <c r="S18">
        <f>IFERROR(VLOOKUP(J18,'Tariff Master'!G:J,3,0),0)</f>
        <v>1000</v>
      </c>
      <c r="T18" t="str">
        <f>IFERROR(VLOOKUP(J18,'Tariff Master'!G:J,4,0),0)</f>
        <v>USD</v>
      </c>
      <c r="V18">
        <f t="shared" si="6"/>
        <v>83</v>
      </c>
      <c r="W18" s="46">
        <f t="shared" si="7"/>
        <v>0.32590448</v>
      </c>
    </row>
    <row r="19" spans="1:23">
      <c r="A19" t="s">
        <v>183</v>
      </c>
      <c r="B19" t="s">
        <v>76</v>
      </c>
      <c r="C19" t="s">
        <v>373</v>
      </c>
      <c r="D19" t="s">
        <v>103</v>
      </c>
      <c r="E19" t="s">
        <v>4</v>
      </c>
      <c r="F19" s="28">
        <v>3.4720000000000001E-2</v>
      </c>
      <c r="G19" s="28">
        <v>200</v>
      </c>
      <c r="J19" t="str">
        <f t="shared" si="8"/>
        <v>DAHEJBREAK BULKFOREIGNMooring</v>
      </c>
      <c r="K19" s="41" t="str">
        <f t="shared" si="9"/>
        <v>DAHEJ</v>
      </c>
      <c r="L19" s="41" t="str">
        <f t="shared" si="10"/>
        <v>BREAK BULK</v>
      </c>
      <c r="M19" s="41" t="str">
        <f t="shared" si="11"/>
        <v>FOREIGN</v>
      </c>
      <c r="N19" s="41" t="str">
        <f t="shared" si="12"/>
        <v>Mooring</v>
      </c>
      <c r="O19">
        <f t="shared" si="3"/>
        <v>80000</v>
      </c>
      <c r="P19" s="40">
        <f>IFERROR(VLOOKUP(J19,'Tariff Master'!G:J,2,0),0)</f>
        <v>3.4720000000000001E-2</v>
      </c>
      <c r="Q19">
        <f t="shared" si="4"/>
        <v>1</v>
      </c>
      <c r="R19" s="45">
        <f t="shared" si="5"/>
        <v>2777.6</v>
      </c>
      <c r="S19">
        <f>IFERROR(VLOOKUP(J19,'Tariff Master'!G:J,3,0),0)</f>
        <v>200</v>
      </c>
      <c r="T19" t="str">
        <f>IFERROR(VLOOKUP(J19,'Tariff Master'!G:J,4,0),0)</f>
        <v>USD</v>
      </c>
      <c r="V19">
        <f t="shared" si="6"/>
        <v>83</v>
      </c>
      <c r="W19" s="46">
        <f t="shared" si="7"/>
        <v>2.3054079999999998E-2</v>
      </c>
    </row>
    <row r="20" spans="1:23">
      <c r="A20" t="s">
        <v>183</v>
      </c>
      <c r="B20" t="s">
        <v>76</v>
      </c>
      <c r="C20" t="s">
        <v>373</v>
      </c>
      <c r="D20" t="s">
        <v>103</v>
      </c>
      <c r="E20" t="s">
        <v>343</v>
      </c>
      <c r="F20" s="28">
        <v>1.2500000000000001E-2</v>
      </c>
      <c r="G20" s="28">
        <v>100</v>
      </c>
      <c r="J20" t="str">
        <f t="shared" si="8"/>
        <v>DAHEJBREAK BULKFOREIGNPESP &amp; Dredging</v>
      </c>
      <c r="K20" s="41" t="str">
        <f t="shared" si="9"/>
        <v>DAHEJ</v>
      </c>
      <c r="L20" s="41" t="str">
        <f t="shared" si="10"/>
        <v>BREAK BULK</v>
      </c>
      <c r="M20" s="41" t="str">
        <f t="shared" si="11"/>
        <v>FOREIGN</v>
      </c>
      <c r="N20" s="41" t="str">
        <f t="shared" si="12"/>
        <v>PESP &amp; Dredging</v>
      </c>
      <c r="O20">
        <f t="shared" si="3"/>
        <v>1</v>
      </c>
      <c r="P20" s="40">
        <f>IFERROR(VLOOKUP(J20,'Tariff Master'!G:J,2,0),0)</f>
        <v>1.2500000000000001E-2</v>
      </c>
      <c r="Q20">
        <f t="shared" si="4"/>
        <v>1</v>
      </c>
      <c r="R20" s="45">
        <f t="shared" si="5"/>
        <v>100</v>
      </c>
      <c r="S20">
        <f>IFERROR(VLOOKUP(J20,'Tariff Master'!G:J,3,0),0)</f>
        <v>100</v>
      </c>
      <c r="T20" t="str">
        <f>IFERROR(VLOOKUP(J20,'Tariff Master'!G:J,4,0),0)</f>
        <v>USD</v>
      </c>
      <c r="V20">
        <f t="shared" si="6"/>
        <v>83</v>
      </c>
      <c r="W20" s="46">
        <f t="shared" si="7"/>
        <v>8.3000000000000001E-4</v>
      </c>
    </row>
    <row r="21" spans="1:23">
      <c r="A21" t="s">
        <v>183</v>
      </c>
      <c r="B21" t="s">
        <v>76</v>
      </c>
      <c r="C21" t="s">
        <v>373</v>
      </c>
      <c r="D21" t="s">
        <v>103</v>
      </c>
      <c r="E21" t="s">
        <v>3</v>
      </c>
      <c r="F21" s="28">
        <v>1.7177</v>
      </c>
      <c r="G21" s="28">
        <v>1000</v>
      </c>
      <c r="J21" t="str">
        <f t="shared" si="8"/>
        <v>DAHEJBREAK BULKFOREIGNPilotage</v>
      </c>
      <c r="K21" s="41" t="str">
        <f t="shared" si="9"/>
        <v>DAHEJ</v>
      </c>
      <c r="L21" s="41" t="str">
        <f t="shared" si="10"/>
        <v>BREAK BULK</v>
      </c>
      <c r="M21" s="41" t="str">
        <f t="shared" si="11"/>
        <v>FOREIGN</v>
      </c>
      <c r="N21" s="41" t="str">
        <f t="shared" si="12"/>
        <v>Pilotage</v>
      </c>
      <c r="O21">
        <f t="shared" si="3"/>
        <v>80000</v>
      </c>
      <c r="P21" s="40">
        <f>IFERROR(VLOOKUP(J21,'Tariff Master'!G:J,2,0),0)</f>
        <v>1.7177</v>
      </c>
      <c r="Q21">
        <f t="shared" si="4"/>
        <v>1</v>
      </c>
      <c r="R21" s="45">
        <f t="shared" si="5"/>
        <v>137416</v>
      </c>
      <c r="S21">
        <f>IFERROR(VLOOKUP(J21,'Tariff Master'!G:J,3,0),0)</f>
        <v>1000</v>
      </c>
      <c r="T21" t="str">
        <f>IFERROR(VLOOKUP(J21,'Tariff Master'!G:J,4,0),0)</f>
        <v>USD</v>
      </c>
      <c r="V21">
        <f t="shared" si="6"/>
        <v>83</v>
      </c>
      <c r="W21" s="46">
        <f t="shared" si="7"/>
        <v>1.1405528</v>
      </c>
    </row>
    <row r="22" spans="1:23">
      <c r="A22" t="s">
        <v>183</v>
      </c>
      <c r="B22" t="s">
        <v>76</v>
      </c>
      <c r="C22" t="s">
        <v>373</v>
      </c>
      <c r="D22" t="s">
        <v>103</v>
      </c>
      <c r="E22" t="s">
        <v>0</v>
      </c>
      <c r="F22" s="28">
        <v>0.33300000000000002</v>
      </c>
      <c r="G22" s="28">
        <v>1200</v>
      </c>
      <c r="J22" t="str">
        <f t="shared" si="8"/>
        <v>DAHEJBREAK BULKFOREIGNPort Dues</v>
      </c>
      <c r="K22" s="41" t="str">
        <f t="shared" si="9"/>
        <v>DAHEJ</v>
      </c>
      <c r="L22" s="41" t="str">
        <f t="shared" si="10"/>
        <v>BREAK BULK</v>
      </c>
      <c r="M22" s="41" t="str">
        <f t="shared" si="11"/>
        <v>FOREIGN</v>
      </c>
      <c r="N22" s="41" t="str">
        <f t="shared" si="12"/>
        <v>Port Dues</v>
      </c>
      <c r="O22">
        <f t="shared" si="3"/>
        <v>80000</v>
      </c>
      <c r="P22" s="40">
        <f>IFERROR(VLOOKUP(J22,'Tariff Master'!G:J,2,0),0)</f>
        <v>0.33300000000000002</v>
      </c>
      <c r="Q22">
        <f t="shared" si="4"/>
        <v>1</v>
      </c>
      <c r="R22" s="45">
        <f t="shared" si="5"/>
        <v>26640</v>
      </c>
      <c r="S22">
        <f>IFERROR(VLOOKUP(J22,'Tariff Master'!G:J,3,0),0)</f>
        <v>1200</v>
      </c>
      <c r="T22" t="str">
        <f>IFERROR(VLOOKUP(J22,'Tariff Master'!G:J,4,0),0)</f>
        <v>USD</v>
      </c>
      <c r="V22">
        <f t="shared" si="6"/>
        <v>83</v>
      </c>
      <c r="W22" s="46">
        <f t="shared" si="7"/>
        <v>0.221112</v>
      </c>
    </row>
    <row r="23" spans="1:23">
      <c r="A23" t="s">
        <v>183</v>
      </c>
      <c r="B23" t="s">
        <v>89</v>
      </c>
      <c r="C23" t="s">
        <v>355</v>
      </c>
      <c r="D23" t="s">
        <v>103</v>
      </c>
      <c r="E23" t="s">
        <v>7</v>
      </c>
      <c r="F23" s="28">
        <v>1.0919999999999999E-2</v>
      </c>
      <c r="G23" s="28">
        <v>720</v>
      </c>
      <c r="J23" t="str">
        <f t="shared" si="8"/>
        <v>DHAMRADRY BULKFOREIGNBerth Hire</v>
      </c>
      <c r="K23" s="41" t="str">
        <f t="shared" si="9"/>
        <v>DHAMRA</v>
      </c>
      <c r="L23" s="41" t="str">
        <f t="shared" si="10"/>
        <v>DRY BULK</v>
      </c>
      <c r="M23" s="41" t="str">
        <f t="shared" si="11"/>
        <v>FOREIGN</v>
      </c>
      <c r="N23" s="41" t="str">
        <f t="shared" si="12"/>
        <v>Berth Hire</v>
      </c>
      <c r="O23">
        <f t="shared" si="3"/>
        <v>80000</v>
      </c>
      <c r="P23" s="40">
        <f>IFERROR(VLOOKUP(J23,'Tariff Master'!G:J,2,0),0)</f>
        <v>1.04E-2</v>
      </c>
      <c r="Q23">
        <f t="shared" si="4"/>
        <v>23</v>
      </c>
      <c r="R23" s="45">
        <f t="shared" si="5"/>
        <v>19136</v>
      </c>
      <c r="S23">
        <f>IFERROR(VLOOKUP(J23,'Tariff Master'!G:J,3,0),0)</f>
        <v>720</v>
      </c>
      <c r="T23" t="str">
        <f>IFERROR(VLOOKUP(J23,'Tariff Master'!G:J,4,0),0)</f>
        <v>USD</v>
      </c>
      <c r="V23">
        <f t="shared" si="6"/>
        <v>83</v>
      </c>
      <c r="W23" s="46">
        <f t="shared" si="7"/>
        <v>0.15882879999999999</v>
      </c>
    </row>
    <row r="24" spans="1:23">
      <c r="A24" t="s">
        <v>183</v>
      </c>
      <c r="B24" t="s">
        <v>89</v>
      </c>
      <c r="C24" t="s">
        <v>355</v>
      </c>
      <c r="D24" t="s">
        <v>103</v>
      </c>
      <c r="E24" t="s">
        <v>4</v>
      </c>
      <c r="F24" s="28">
        <v>3.4720000000000001E-2</v>
      </c>
      <c r="G24" s="28">
        <v>200</v>
      </c>
      <c r="J24" t="str">
        <f t="shared" si="8"/>
        <v>DHAMRADRY BULKFOREIGNMooring</v>
      </c>
      <c r="K24" s="41" t="str">
        <f t="shared" si="9"/>
        <v>DHAMRA</v>
      </c>
      <c r="L24" s="41" t="str">
        <f t="shared" si="10"/>
        <v>DRY BULK</v>
      </c>
      <c r="M24" s="41" t="str">
        <f t="shared" si="11"/>
        <v>FOREIGN</v>
      </c>
      <c r="N24" s="41" t="str">
        <f t="shared" si="12"/>
        <v>Mooring</v>
      </c>
      <c r="O24">
        <f t="shared" si="3"/>
        <v>80000</v>
      </c>
      <c r="P24" s="40">
        <f>IFERROR(VLOOKUP(J24,'Tariff Master'!G:J,2,0),0)</f>
        <v>3.4720000000000001E-2</v>
      </c>
      <c r="Q24">
        <f t="shared" si="4"/>
        <v>1</v>
      </c>
      <c r="R24" s="45">
        <f t="shared" si="5"/>
        <v>2777.6</v>
      </c>
      <c r="S24">
        <f>IFERROR(VLOOKUP(J24,'Tariff Master'!G:J,3,0),0)</f>
        <v>200</v>
      </c>
      <c r="T24" t="str">
        <f>IFERROR(VLOOKUP(J24,'Tariff Master'!G:J,4,0),0)</f>
        <v>USD</v>
      </c>
      <c r="V24">
        <f t="shared" si="6"/>
        <v>83</v>
      </c>
      <c r="W24" s="46">
        <f t="shared" si="7"/>
        <v>2.3054079999999998E-2</v>
      </c>
    </row>
    <row r="25" spans="1:23">
      <c r="A25" t="s">
        <v>183</v>
      </c>
      <c r="B25" t="s">
        <v>89</v>
      </c>
      <c r="C25" t="s">
        <v>355</v>
      </c>
      <c r="D25" t="s">
        <v>103</v>
      </c>
      <c r="E25" t="s">
        <v>343</v>
      </c>
      <c r="F25" s="28">
        <v>800</v>
      </c>
      <c r="G25" s="28"/>
      <c r="J25" t="str">
        <f t="shared" si="8"/>
        <v>DHAMRADRY BULKFOREIGNPESP &amp; Dredging</v>
      </c>
      <c r="K25" s="41" t="str">
        <f t="shared" si="9"/>
        <v>DHAMRA</v>
      </c>
      <c r="L25" s="41" t="str">
        <f t="shared" si="10"/>
        <v>DRY BULK</v>
      </c>
      <c r="M25" s="41" t="str">
        <f t="shared" si="11"/>
        <v>FOREIGN</v>
      </c>
      <c r="N25" s="41" t="str">
        <f t="shared" si="12"/>
        <v>PESP &amp; Dredging</v>
      </c>
      <c r="O25">
        <f t="shared" si="3"/>
        <v>1</v>
      </c>
      <c r="P25" s="40">
        <f>IFERROR(VLOOKUP(J25,'Tariff Master'!G:J,2,0),0)</f>
        <v>1400</v>
      </c>
      <c r="Q25">
        <f t="shared" si="4"/>
        <v>1</v>
      </c>
      <c r="R25" s="45">
        <f t="shared" si="5"/>
        <v>1400</v>
      </c>
      <c r="S25">
        <f>IFERROR(VLOOKUP(J25,'Tariff Master'!G:J,3,0),0)</f>
        <v>0</v>
      </c>
      <c r="T25" t="str">
        <f>IFERROR(VLOOKUP(J25,'Tariff Master'!G:J,4,0),0)</f>
        <v>USD</v>
      </c>
      <c r="V25">
        <f t="shared" si="6"/>
        <v>83</v>
      </c>
      <c r="W25" s="46">
        <f t="shared" si="7"/>
        <v>1.162E-2</v>
      </c>
    </row>
    <row r="26" spans="1:23">
      <c r="A26" t="s">
        <v>183</v>
      </c>
      <c r="B26" t="s">
        <v>89</v>
      </c>
      <c r="C26" t="s">
        <v>355</v>
      </c>
      <c r="D26" t="s">
        <v>103</v>
      </c>
      <c r="E26" t="s">
        <v>3</v>
      </c>
      <c r="F26" s="28">
        <v>2.351426</v>
      </c>
      <c r="G26" s="28">
        <v>6000</v>
      </c>
      <c r="J26" t="str">
        <f t="shared" si="8"/>
        <v>DHAMRADRY BULKFOREIGNPilotage</v>
      </c>
      <c r="K26" s="41" t="str">
        <f t="shared" si="9"/>
        <v>DHAMRA</v>
      </c>
      <c r="L26" s="41" t="str">
        <f t="shared" si="10"/>
        <v>DRY BULK</v>
      </c>
      <c r="M26" s="41" t="str">
        <f t="shared" si="11"/>
        <v>FOREIGN</v>
      </c>
      <c r="N26" s="41" t="str">
        <f t="shared" si="12"/>
        <v>Pilotage</v>
      </c>
      <c r="O26">
        <f t="shared" si="3"/>
        <v>80000</v>
      </c>
      <c r="P26" s="40">
        <f>IFERROR(VLOOKUP(J26,'Tariff Master'!G:J,2,0),0)</f>
        <v>2.2367059999999999</v>
      </c>
      <c r="Q26">
        <f t="shared" si="4"/>
        <v>1</v>
      </c>
      <c r="R26" s="45">
        <f t="shared" si="5"/>
        <v>178936.47999999998</v>
      </c>
      <c r="S26">
        <f>IFERROR(VLOOKUP(J26,'Tariff Master'!G:J,3,0),0)</f>
        <v>6000</v>
      </c>
      <c r="T26" t="str">
        <f>IFERROR(VLOOKUP(J26,'Tariff Master'!G:J,4,0),0)</f>
        <v>USD</v>
      </c>
      <c r="V26">
        <f t="shared" si="6"/>
        <v>83</v>
      </c>
      <c r="W26" s="46">
        <f t="shared" si="7"/>
        <v>1.4851727839999997</v>
      </c>
    </row>
    <row r="27" spans="1:23">
      <c r="A27" t="s">
        <v>183</v>
      </c>
      <c r="B27" t="s">
        <v>89</v>
      </c>
      <c r="C27" t="s">
        <v>355</v>
      </c>
      <c r="D27" t="s">
        <v>103</v>
      </c>
      <c r="E27" t="s">
        <v>0</v>
      </c>
      <c r="F27" s="28">
        <v>0.05</v>
      </c>
      <c r="G27" s="28">
        <v>250</v>
      </c>
      <c r="J27" t="str">
        <f t="shared" si="8"/>
        <v>DHAMRADRY BULKFOREIGNPort Dues</v>
      </c>
      <c r="K27" s="41" t="str">
        <f t="shared" si="9"/>
        <v>DHAMRA</v>
      </c>
      <c r="L27" s="41" t="str">
        <f t="shared" si="10"/>
        <v>DRY BULK</v>
      </c>
      <c r="M27" s="41" t="str">
        <f t="shared" si="11"/>
        <v>FOREIGN</v>
      </c>
      <c r="N27" s="41" t="str">
        <f t="shared" si="12"/>
        <v>Port Dues</v>
      </c>
      <c r="O27">
        <f t="shared" si="3"/>
        <v>80000</v>
      </c>
      <c r="P27" s="40">
        <f>IFERROR(VLOOKUP(J27,'Tariff Master'!G:J,2,0),0)</f>
        <v>0.05</v>
      </c>
      <c r="Q27">
        <f t="shared" si="4"/>
        <v>1</v>
      </c>
      <c r="R27" s="45">
        <f t="shared" si="5"/>
        <v>4000</v>
      </c>
      <c r="S27">
        <f>IFERROR(VLOOKUP(J27,'Tariff Master'!G:J,3,0),0)</f>
        <v>250</v>
      </c>
      <c r="T27" t="str">
        <f>IFERROR(VLOOKUP(J27,'Tariff Master'!G:J,4,0),0)</f>
        <v>USD</v>
      </c>
      <c r="V27">
        <f t="shared" si="6"/>
        <v>83</v>
      </c>
      <c r="W27" s="46">
        <f t="shared" si="7"/>
        <v>3.32E-2</v>
      </c>
    </row>
    <row r="28" spans="1:23">
      <c r="A28" t="s">
        <v>183</v>
      </c>
      <c r="B28" t="s">
        <v>97</v>
      </c>
      <c r="C28" t="s">
        <v>355</v>
      </c>
      <c r="D28" t="s">
        <v>103</v>
      </c>
      <c r="E28" t="s">
        <v>7</v>
      </c>
      <c r="F28" s="28">
        <v>8.5000000000000006E-3</v>
      </c>
      <c r="G28" s="28">
        <v>495</v>
      </c>
      <c r="J28" t="str">
        <f t="shared" si="8"/>
        <v>DIGHIDRY BULKFOREIGNBerth Hire</v>
      </c>
      <c r="K28" s="41" t="str">
        <f t="shared" si="9"/>
        <v>DIGHI</v>
      </c>
      <c r="L28" s="41" t="str">
        <f t="shared" si="10"/>
        <v>DRY BULK</v>
      </c>
      <c r="M28" s="41" t="str">
        <f t="shared" si="11"/>
        <v>FOREIGN</v>
      </c>
      <c r="N28" s="41" t="str">
        <f t="shared" si="12"/>
        <v>Berth Hire</v>
      </c>
      <c r="O28">
        <f t="shared" si="3"/>
        <v>80000</v>
      </c>
      <c r="P28" s="40">
        <f>IFERROR(VLOOKUP(J28,'Tariff Master'!G:J,2,0),0)</f>
        <v>8.5000000000000006E-3</v>
      </c>
      <c r="Q28">
        <f t="shared" si="4"/>
        <v>23</v>
      </c>
      <c r="R28" s="45">
        <f t="shared" si="5"/>
        <v>15640</v>
      </c>
      <c r="S28">
        <f>IFERROR(VLOOKUP(J28,'Tariff Master'!G:J,3,0),0)</f>
        <v>495</v>
      </c>
      <c r="T28" t="str">
        <f>IFERROR(VLOOKUP(J28,'Tariff Master'!G:J,4,0),0)</f>
        <v>USD</v>
      </c>
      <c r="V28">
        <f t="shared" si="6"/>
        <v>83</v>
      </c>
      <c r="W28" s="46">
        <f t="shared" si="7"/>
        <v>0.12981200000000001</v>
      </c>
    </row>
    <row r="29" spans="1:23">
      <c r="A29" t="s">
        <v>183</v>
      </c>
      <c r="B29" t="s">
        <v>97</v>
      </c>
      <c r="C29" t="s">
        <v>355</v>
      </c>
      <c r="D29" t="s">
        <v>103</v>
      </c>
      <c r="E29" t="s">
        <v>4</v>
      </c>
      <c r="F29" s="28">
        <v>0.1736</v>
      </c>
      <c r="G29" s="28">
        <v>200</v>
      </c>
      <c r="J29" t="str">
        <f t="shared" si="8"/>
        <v>DIGHIDRY BULKFOREIGNMooring</v>
      </c>
      <c r="K29" s="41" t="str">
        <f t="shared" si="9"/>
        <v>DIGHI</v>
      </c>
      <c r="L29" s="41" t="str">
        <f t="shared" si="10"/>
        <v>DRY BULK</v>
      </c>
      <c r="M29" s="41" t="str">
        <f t="shared" si="11"/>
        <v>FOREIGN</v>
      </c>
      <c r="N29" s="41" t="str">
        <f t="shared" si="12"/>
        <v>Mooring</v>
      </c>
      <c r="O29">
        <f t="shared" si="3"/>
        <v>80000</v>
      </c>
      <c r="P29" s="40">
        <f>IFERROR(VLOOKUP(J29,'Tariff Master'!G:J,2,0),0)</f>
        <v>0.1736</v>
      </c>
      <c r="Q29">
        <f t="shared" si="4"/>
        <v>1</v>
      </c>
      <c r="R29" s="45">
        <f t="shared" si="5"/>
        <v>13888</v>
      </c>
      <c r="S29">
        <f>IFERROR(VLOOKUP(J29,'Tariff Master'!G:J,3,0),0)</f>
        <v>200</v>
      </c>
      <c r="T29" t="str">
        <f>IFERROR(VLOOKUP(J29,'Tariff Master'!G:J,4,0),0)</f>
        <v>USD</v>
      </c>
      <c r="V29">
        <f t="shared" si="6"/>
        <v>83</v>
      </c>
      <c r="W29" s="46">
        <f t="shared" si="7"/>
        <v>0.1152704</v>
      </c>
    </row>
    <row r="30" spans="1:23">
      <c r="A30" t="s">
        <v>183</v>
      </c>
      <c r="B30" t="s">
        <v>97</v>
      </c>
      <c r="C30" t="s">
        <v>355</v>
      </c>
      <c r="D30" t="s">
        <v>103</v>
      </c>
      <c r="E30" t="s">
        <v>343</v>
      </c>
      <c r="F30" s="28">
        <v>600</v>
      </c>
      <c r="G30" s="28">
        <v>0</v>
      </c>
      <c r="J30" t="str">
        <f t="shared" si="8"/>
        <v>DIGHIDRY BULKFOREIGNPESP &amp; Dredging</v>
      </c>
      <c r="K30" s="41" t="str">
        <f t="shared" si="9"/>
        <v>DIGHI</v>
      </c>
      <c r="L30" s="41" t="str">
        <f t="shared" si="10"/>
        <v>DRY BULK</v>
      </c>
      <c r="M30" s="41" t="str">
        <f t="shared" si="11"/>
        <v>FOREIGN</v>
      </c>
      <c r="N30" s="41" t="str">
        <f t="shared" si="12"/>
        <v>PESP &amp; Dredging</v>
      </c>
      <c r="O30">
        <f t="shared" si="3"/>
        <v>1</v>
      </c>
      <c r="P30" s="40">
        <f>IFERROR(VLOOKUP(J30,'Tariff Master'!G:J,2,0),0)</f>
        <v>800</v>
      </c>
      <c r="Q30">
        <f t="shared" si="4"/>
        <v>1</v>
      </c>
      <c r="R30" s="45">
        <f t="shared" si="5"/>
        <v>800</v>
      </c>
      <c r="S30">
        <f>IFERROR(VLOOKUP(J30,'Tariff Master'!G:J,3,0),0)</f>
        <v>0</v>
      </c>
      <c r="T30" t="str">
        <f>IFERROR(VLOOKUP(J30,'Tariff Master'!G:J,4,0),0)</f>
        <v>USD</v>
      </c>
      <c r="V30">
        <f t="shared" si="6"/>
        <v>83</v>
      </c>
      <c r="W30" s="46">
        <f t="shared" si="7"/>
        <v>6.6400000000000001E-3</v>
      </c>
    </row>
    <row r="31" spans="1:23">
      <c r="A31" t="s">
        <v>183</v>
      </c>
      <c r="B31" t="s">
        <v>97</v>
      </c>
      <c r="C31" t="s">
        <v>355</v>
      </c>
      <c r="D31" t="s">
        <v>103</v>
      </c>
      <c r="E31" t="s">
        <v>3</v>
      </c>
      <c r="F31" s="28">
        <v>1.3150999999999999</v>
      </c>
      <c r="G31" s="28">
        <v>16295</v>
      </c>
      <c r="J31" t="str">
        <f t="shared" si="8"/>
        <v>DIGHIDRY BULKFOREIGNPilotage</v>
      </c>
      <c r="K31" s="41" t="str">
        <f t="shared" si="9"/>
        <v>DIGHI</v>
      </c>
      <c r="L31" s="41" t="str">
        <f t="shared" si="10"/>
        <v>DRY BULK</v>
      </c>
      <c r="M31" s="41" t="str">
        <f t="shared" si="11"/>
        <v>FOREIGN</v>
      </c>
      <c r="N31" s="41" t="str">
        <f t="shared" si="12"/>
        <v>Pilotage</v>
      </c>
      <c r="O31">
        <f t="shared" si="3"/>
        <v>80000</v>
      </c>
      <c r="P31" s="40">
        <f>IFERROR(VLOOKUP(J31,'Tariff Master'!G:J,2,0),0)</f>
        <v>1.3150999999999999</v>
      </c>
      <c r="Q31">
        <f t="shared" si="4"/>
        <v>1</v>
      </c>
      <c r="R31" s="45">
        <f t="shared" si="5"/>
        <v>105208</v>
      </c>
      <c r="S31">
        <f>IFERROR(VLOOKUP(J31,'Tariff Master'!G:J,3,0),0)</f>
        <v>16295</v>
      </c>
      <c r="T31" t="str">
        <f>IFERROR(VLOOKUP(J31,'Tariff Master'!G:J,4,0),0)</f>
        <v>USD</v>
      </c>
      <c r="V31">
        <f t="shared" si="6"/>
        <v>83</v>
      </c>
      <c r="W31" s="46">
        <f t="shared" si="7"/>
        <v>0.87322639999999996</v>
      </c>
    </row>
    <row r="32" spans="1:23">
      <c r="A32" t="s">
        <v>183</v>
      </c>
      <c r="B32" t="s">
        <v>97</v>
      </c>
      <c r="C32" t="s">
        <v>355</v>
      </c>
      <c r="D32" t="s">
        <v>103</v>
      </c>
      <c r="E32" t="s">
        <v>0</v>
      </c>
      <c r="F32" s="28">
        <v>6.3500000000000001E-2</v>
      </c>
      <c r="G32" s="28">
        <v>375</v>
      </c>
      <c r="J32" t="str">
        <f t="shared" si="8"/>
        <v>DIGHIDRY BULKFOREIGNPort Dues</v>
      </c>
      <c r="K32" s="41" t="str">
        <f t="shared" si="9"/>
        <v>DIGHI</v>
      </c>
      <c r="L32" s="41" t="str">
        <f t="shared" si="10"/>
        <v>DRY BULK</v>
      </c>
      <c r="M32" s="41" t="str">
        <f t="shared" si="11"/>
        <v>FOREIGN</v>
      </c>
      <c r="N32" s="41" t="str">
        <f t="shared" si="12"/>
        <v>Port Dues</v>
      </c>
      <c r="O32">
        <f t="shared" si="3"/>
        <v>80000</v>
      </c>
      <c r="P32" s="40">
        <f>IFERROR(VLOOKUP(J32,'Tariff Master'!G:J,2,0),0)</f>
        <v>6.3500000000000001E-2</v>
      </c>
      <c r="Q32">
        <f t="shared" si="4"/>
        <v>1</v>
      </c>
      <c r="R32" s="45">
        <f t="shared" si="5"/>
        <v>5080</v>
      </c>
      <c r="S32">
        <f>IFERROR(VLOOKUP(J32,'Tariff Master'!G:J,3,0),0)</f>
        <v>375</v>
      </c>
      <c r="T32" t="str">
        <f>IFERROR(VLOOKUP(J32,'Tariff Master'!G:J,4,0),0)</f>
        <v>USD</v>
      </c>
      <c r="V32">
        <f t="shared" si="6"/>
        <v>83</v>
      </c>
      <c r="W32" s="46">
        <f t="shared" si="7"/>
        <v>4.2164E-2</v>
      </c>
    </row>
    <row r="33" spans="1:25">
      <c r="A33" t="s">
        <v>183</v>
      </c>
      <c r="B33" t="s">
        <v>97</v>
      </c>
      <c r="C33" t="s">
        <v>369</v>
      </c>
      <c r="D33" t="s">
        <v>103</v>
      </c>
      <c r="E33" t="s">
        <v>7</v>
      </c>
      <c r="F33" s="28">
        <v>0.13375000000000001</v>
      </c>
      <c r="G33" s="28">
        <v>630</v>
      </c>
      <c r="J33" t="str">
        <f t="shared" si="8"/>
        <v>DIGHIPOLFOREIGNBerth Hire</v>
      </c>
      <c r="K33" s="41" t="str">
        <f t="shared" si="9"/>
        <v>DIGHI</v>
      </c>
      <c r="L33" s="41" t="str">
        <f t="shared" si="10"/>
        <v>POL</v>
      </c>
      <c r="M33" s="41" t="str">
        <f t="shared" si="11"/>
        <v>FOREIGN</v>
      </c>
      <c r="N33" s="41" t="str">
        <f t="shared" si="12"/>
        <v>Berth Hire</v>
      </c>
      <c r="O33">
        <f t="shared" si="3"/>
        <v>80000</v>
      </c>
      <c r="P33" s="40">
        <f>IFERROR(VLOOKUP(J33,'Tariff Master'!G:J,2,0),0)</f>
        <v>0.13375000000000001</v>
      </c>
      <c r="Q33">
        <f t="shared" si="4"/>
        <v>23</v>
      </c>
      <c r="R33" s="45">
        <f t="shared" si="5"/>
        <v>246100</v>
      </c>
      <c r="S33">
        <f>IFERROR(VLOOKUP(J33,'Tariff Master'!G:J,3,0),0)</f>
        <v>630</v>
      </c>
      <c r="T33" t="str">
        <f>IFERROR(VLOOKUP(J33,'Tariff Master'!G:J,4,0),0)</f>
        <v>USD</v>
      </c>
      <c r="V33">
        <f t="shared" si="6"/>
        <v>83</v>
      </c>
      <c r="W33" s="46">
        <f t="shared" si="7"/>
        <v>2.0426299999999999</v>
      </c>
    </row>
    <row r="34" spans="1:25">
      <c r="A34" t="s">
        <v>183</v>
      </c>
      <c r="B34" t="s">
        <v>97</v>
      </c>
      <c r="C34" t="s">
        <v>369</v>
      </c>
      <c r="D34" t="s">
        <v>103</v>
      </c>
      <c r="E34" t="s">
        <v>4</v>
      </c>
      <c r="F34" s="28">
        <v>0.1736</v>
      </c>
      <c r="G34" s="28">
        <v>200</v>
      </c>
      <c r="J34" t="str">
        <f t="shared" si="8"/>
        <v>DIGHIPOLFOREIGNMooring</v>
      </c>
      <c r="K34" s="41" t="str">
        <f t="shared" si="9"/>
        <v>DIGHI</v>
      </c>
      <c r="L34" s="41" t="str">
        <f t="shared" si="10"/>
        <v>POL</v>
      </c>
      <c r="M34" s="41" t="str">
        <f t="shared" si="11"/>
        <v>FOREIGN</v>
      </c>
      <c r="N34" s="41" t="str">
        <f t="shared" si="12"/>
        <v>Mooring</v>
      </c>
      <c r="O34">
        <f t="shared" si="3"/>
        <v>80000</v>
      </c>
      <c r="P34" s="40">
        <f>IFERROR(VLOOKUP(J34,'Tariff Master'!G:J,2,0),0)</f>
        <v>0.1736</v>
      </c>
      <c r="Q34">
        <f t="shared" si="4"/>
        <v>1</v>
      </c>
      <c r="R34" s="45">
        <f t="shared" si="5"/>
        <v>13888</v>
      </c>
      <c r="S34">
        <f>IFERROR(VLOOKUP(J34,'Tariff Master'!G:J,3,0),0)</f>
        <v>200</v>
      </c>
      <c r="T34" t="str">
        <f>IFERROR(VLOOKUP(J34,'Tariff Master'!G:J,4,0),0)</f>
        <v>USD</v>
      </c>
      <c r="V34">
        <f t="shared" si="6"/>
        <v>83</v>
      </c>
      <c r="W34" s="46">
        <f t="shared" si="7"/>
        <v>0.1152704</v>
      </c>
    </row>
    <row r="35" spans="1:25">
      <c r="A35" t="s">
        <v>183</v>
      </c>
      <c r="B35" t="s">
        <v>97</v>
      </c>
      <c r="C35" t="s">
        <v>369</v>
      </c>
      <c r="D35" t="s">
        <v>103</v>
      </c>
      <c r="E35" t="s">
        <v>343</v>
      </c>
      <c r="F35" s="28">
        <v>600</v>
      </c>
      <c r="G35" s="28">
        <v>0</v>
      </c>
      <c r="J35" t="str">
        <f t="shared" si="8"/>
        <v>DIGHIPOLFOREIGNPESP &amp; Dredging</v>
      </c>
      <c r="K35" s="41" t="str">
        <f t="shared" si="9"/>
        <v>DIGHI</v>
      </c>
      <c r="L35" s="41" t="str">
        <f t="shared" si="10"/>
        <v>POL</v>
      </c>
      <c r="M35" s="41" t="str">
        <f t="shared" si="11"/>
        <v>FOREIGN</v>
      </c>
      <c r="N35" s="41" t="str">
        <f t="shared" si="12"/>
        <v>PESP &amp; Dredging</v>
      </c>
      <c r="O35">
        <f t="shared" si="3"/>
        <v>1</v>
      </c>
      <c r="P35" s="40">
        <f>IFERROR(VLOOKUP(J35,'Tariff Master'!G:J,2,0),0)</f>
        <v>800</v>
      </c>
      <c r="Q35">
        <f t="shared" si="4"/>
        <v>1</v>
      </c>
      <c r="R35" s="45">
        <f t="shared" si="5"/>
        <v>800</v>
      </c>
      <c r="S35">
        <f>IFERROR(VLOOKUP(J35,'Tariff Master'!G:J,3,0),0)</f>
        <v>0</v>
      </c>
      <c r="T35" t="str">
        <f>IFERROR(VLOOKUP(J35,'Tariff Master'!G:J,4,0),0)</f>
        <v>USD</v>
      </c>
      <c r="V35">
        <f t="shared" si="6"/>
        <v>83</v>
      </c>
      <c r="W35" s="46">
        <f t="shared" si="7"/>
        <v>6.6400000000000001E-3</v>
      </c>
    </row>
    <row r="36" spans="1:25">
      <c r="A36" t="s">
        <v>183</v>
      </c>
      <c r="B36" t="s">
        <v>97</v>
      </c>
      <c r="C36" t="s">
        <v>369</v>
      </c>
      <c r="D36" t="s">
        <v>103</v>
      </c>
      <c r="E36" t="s">
        <v>3</v>
      </c>
      <c r="F36" s="28">
        <v>1.3952</v>
      </c>
      <c r="G36" s="28">
        <v>20680</v>
      </c>
      <c r="J36" t="str">
        <f t="shared" si="8"/>
        <v>DIGHIPOLFOREIGNPilotage</v>
      </c>
      <c r="K36" s="41" t="str">
        <f t="shared" si="9"/>
        <v>DIGHI</v>
      </c>
      <c r="L36" s="41" t="str">
        <f t="shared" si="10"/>
        <v>POL</v>
      </c>
      <c r="M36" s="41" t="str">
        <f t="shared" si="11"/>
        <v>FOREIGN</v>
      </c>
      <c r="N36" s="41" t="str">
        <f t="shared" si="12"/>
        <v>Pilotage</v>
      </c>
      <c r="O36">
        <f t="shared" si="3"/>
        <v>80000</v>
      </c>
      <c r="P36" s="40">
        <f>IFERROR(VLOOKUP(J36,'Tariff Master'!G:J,2,0),0)</f>
        <v>1.3952</v>
      </c>
      <c r="Q36">
        <f t="shared" si="4"/>
        <v>1</v>
      </c>
      <c r="R36" s="45">
        <f t="shared" si="5"/>
        <v>111616</v>
      </c>
      <c r="S36">
        <f>IFERROR(VLOOKUP(J36,'Tariff Master'!G:J,3,0),0)</f>
        <v>20680</v>
      </c>
      <c r="T36" t="str">
        <f>IFERROR(VLOOKUP(J36,'Tariff Master'!G:J,4,0),0)</f>
        <v>USD</v>
      </c>
      <c r="V36">
        <f t="shared" si="6"/>
        <v>83</v>
      </c>
      <c r="W36" s="46">
        <f t="shared" si="7"/>
        <v>0.92641280000000004</v>
      </c>
    </row>
    <row r="37" spans="1:25">
      <c r="A37" t="s">
        <v>183</v>
      </c>
      <c r="B37" t="s">
        <v>97</v>
      </c>
      <c r="C37" t="s">
        <v>369</v>
      </c>
      <c r="D37" t="s">
        <v>103</v>
      </c>
      <c r="E37" t="s">
        <v>0</v>
      </c>
      <c r="F37" s="28">
        <v>6.8000000000000005E-2</v>
      </c>
      <c r="G37" s="28">
        <v>475</v>
      </c>
      <c r="J37" t="str">
        <f t="shared" si="8"/>
        <v>DIGHIPOLFOREIGNPort Dues</v>
      </c>
      <c r="K37" s="41" t="str">
        <f t="shared" si="9"/>
        <v>DIGHI</v>
      </c>
      <c r="L37" s="41" t="str">
        <f t="shared" si="10"/>
        <v>POL</v>
      </c>
      <c r="M37" s="41" t="str">
        <f t="shared" si="11"/>
        <v>FOREIGN</v>
      </c>
      <c r="N37" s="41" t="str">
        <f t="shared" si="12"/>
        <v>Port Dues</v>
      </c>
      <c r="O37">
        <f t="shared" si="3"/>
        <v>80000</v>
      </c>
      <c r="P37" s="40">
        <f>IFERROR(VLOOKUP(J37,'Tariff Master'!G:J,2,0),0)</f>
        <v>6.8000000000000005E-2</v>
      </c>
      <c r="Q37">
        <f t="shared" si="4"/>
        <v>1</v>
      </c>
      <c r="R37" s="45">
        <f t="shared" si="5"/>
        <v>5440</v>
      </c>
      <c r="S37">
        <f>IFERROR(VLOOKUP(J37,'Tariff Master'!G:J,3,0),0)</f>
        <v>475</v>
      </c>
      <c r="T37" t="str">
        <f>IFERROR(VLOOKUP(J37,'Tariff Master'!G:J,4,0),0)</f>
        <v>USD</v>
      </c>
      <c r="V37">
        <f t="shared" si="6"/>
        <v>83</v>
      </c>
      <c r="W37" s="46">
        <f t="shared" si="7"/>
        <v>4.5151999999999998E-2</v>
      </c>
    </row>
    <row r="38" spans="1:25">
      <c r="A38" t="s">
        <v>183</v>
      </c>
      <c r="B38" t="s">
        <v>97</v>
      </c>
      <c r="C38" t="s">
        <v>140</v>
      </c>
      <c r="D38" t="s">
        <v>103</v>
      </c>
      <c r="E38" t="s">
        <v>7</v>
      </c>
      <c r="F38" s="28">
        <v>8.5000000000000006E-3</v>
      </c>
      <c r="G38" s="28">
        <v>495</v>
      </c>
      <c r="J38" t="str">
        <f t="shared" si="8"/>
        <v>DIGHITANKERFOREIGNBerth Hire</v>
      </c>
      <c r="K38" s="41" t="str">
        <f t="shared" si="9"/>
        <v>DIGHI</v>
      </c>
      <c r="L38" s="41" t="str">
        <f t="shared" si="10"/>
        <v>TANKER</v>
      </c>
      <c r="M38" s="41" t="str">
        <f t="shared" si="11"/>
        <v>FOREIGN</v>
      </c>
      <c r="N38" s="41" t="str">
        <f t="shared" si="12"/>
        <v>Berth Hire</v>
      </c>
      <c r="O38">
        <f t="shared" si="3"/>
        <v>80000</v>
      </c>
      <c r="P38" s="40">
        <f>IFERROR(VLOOKUP(J38,'Tariff Master'!G:J,2,0),0)</f>
        <v>1.0500000000000001E-2</v>
      </c>
      <c r="Q38">
        <f t="shared" si="4"/>
        <v>23</v>
      </c>
      <c r="R38" s="45">
        <f t="shared" si="5"/>
        <v>19320</v>
      </c>
      <c r="S38">
        <f>IFERROR(VLOOKUP(J38,'Tariff Master'!G:J,3,0),0)</f>
        <v>495</v>
      </c>
      <c r="T38" t="str">
        <f>IFERROR(VLOOKUP(J38,'Tariff Master'!G:J,4,0),0)</f>
        <v>USD</v>
      </c>
      <c r="V38">
        <f t="shared" si="6"/>
        <v>83</v>
      </c>
      <c r="W38" s="46">
        <f t="shared" si="7"/>
        <v>0.160356</v>
      </c>
    </row>
    <row r="39" spans="1:25">
      <c r="A39" t="s">
        <v>183</v>
      </c>
      <c r="B39" t="s">
        <v>97</v>
      </c>
      <c r="C39" t="s">
        <v>140</v>
      </c>
      <c r="D39" t="s">
        <v>103</v>
      </c>
      <c r="E39" t="s">
        <v>4</v>
      </c>
      <c r="F39" s="28">
        <v>0.1736</v>
      </c>
      <c r="G39" s="28">
        <v>200</v>
      </c>
      <c r="J39" t="str">
        <f t="shared" si="8"/>
        <v>DIGHITANKERFOREIGNMooring</v>
      </c>
      <c r="K39" s="41" t="str">
        <f t="shared" si="9"/>
        <v>DIGHI</v>
      </c>
      <c r="L39" s="41" t="str">
        <f t="shared" si="10"/>
        <v>TANKER</v>
      </c>
      <c r="M39" s="41" t="str">
        <f t="shared" si="11"/>
        <v>FOREIGN</v>
      </c>
      <c r="N39" s="41" t="str">
        <f t="shared" si="12"/>
        <v>Mooring</v>
      </c>
      <c r="O39">
        <f t="shared" si="3"/>
        <v>80000</v>
      </c>
      <c r="P39" s="40">
        <f>IFERROR(VLOOKUP(J39,'Tariff Master'!G:J,2,0),0)</f>
        <v>0.1736</v>
      </c>
      <c r="Q39">
        <f t="shared" si="4"/>
        <v>1</v>
      </c>
      <c r="R39" s="45">
        <f t="shared" si="5"/>
        <v>13888</v>
      </c>
      <c r="S39">
        <f>IFERROR(VLOOKUP(J39,'Tariff Master'!G:J,3,0),0)</f>
        <v>200</v>
      </c>
      <c r="T39" t="str">
        <f>IFERROR(VLOOKUP(J39,'Tariff Master'!G:J,4,0),0)</f>
        <v>USD</v>
      </c>
      <c r="V39">
        <f t="shared" si="6"/>
        <v>83</v>
      </c>
      <c r="W39" s="46">
        <f t="shared" si="7"/>
        <v>0.1152704</v>
      </c>
    </row>
    <row r="40" spans="1:25">
      <c r="A40" t="s">
        <v>183</v>
      </c>
      <c r="B40" t="s">
        <v>97</v>
      </c>
      <c r="C40" t="s">
        <v>140</v>
      </c>
      <c r="D40" t="s">
        <v>103</v>
      </c>
      <c r="E40" t="s">
        <v>343</v>
      </c>
      <c r="F40" s="28">
        <v>600</v>
      </c>
      <c r="G40" s="28">
        <v>0</v>
      </c>
      <c r="J40" t="str">
        <f t="shared" si="8"/>
        <v>DIGHITANKERFOREIGNPESP &amp; Dredging</v>
      </c>
      <c r="K40" s="41" t="str">
        <f t="shared" si="9"/>
        <v>DIGHI</v>
      </c>
      <c r="L40" s="41" t="str">
        <f t="shared" si="10"/>
        <v>TANKER</v>
      </c>
      <c r="M40" s="41" t="str">
        <f t="shared" si="11"/>
        <v>FOREIGN</v>
      </c>
      <c r="N40" s="41" t="str">
        <f t="shared" si="12"/>
        <v>PESP &amp; Dredging</v>
      </c>
      <c r="O40">
        <f t="shared" si="3"/>
        <v>1</v>
      </c>
      <c r="P40" s="40">
        <f>IFERROR(VLOOKUP(J40,'Tariff Master'!G:J,2,0),0)</f>
        <v>800</v>
      </c>
      <c r="Q40">
        <f t="shared" si="4"/>
        <v>1</v>
      </c>
      <c r="R40" s="45">
        <f t="shared" si="5"/>
        <v>800</v>
      </c>
      <c r="S40">
        <f>IFERROR(VLOOKUP(J40,'Tariff Master'!G:J,3,0),0)</f>
        <v>0</v>
      </c>
      <c r="T40" t="str">
        <f>IFERROR(VLOOKUP(J40,'Tariff Master'!G:J,4,0),0)</f>
        <v>USD</v>
      </c>
      <c r="V40">
        <f t="shared" si="6"/>
        <v>83</v>
      </c>
      <c r="W40" s="46">
        <f t="shared" si="7"/>
        <v>6.6400000000000001E-3</v>
      </c>
    </row>
    <row r="41" spans="1:25">
      <c r="A41" t="s">
        <v>183</v>
      </c>
      <c r="B41" t="s">
        <v>97</v>
      </c>
      <c r="C41" t="s">
        <v>140</v>
      </c>
      <c r="D41" t="s">
        <v>103</v>
      </c>
      <c r="E41" t="s">
        <v>3</v>
      </c>
      <c r="F41" s="28">
        <v>1.1009</v>
      </c>
      <c r="G41" s="28">
        <v>16275</v>
      </c>
      <c r="J41" t="str">
        <f t="shared" si="8"/>
        <v>DIGHITANKERFOREIGNPilotage</v>
      </c>
      <c r="K41" s="41" t="str">
        <f t="shared" si="9"/>
        <v>DIGHI</v>
      </c>
      <c r="L41" s="41" t="str">
        <f t="shared" si="10"/>
        <v>TANKER</v>
      </c>
      <c r="M41" s="41" t="str">
        <f t="shared" si="11"/>
        <v>FOREIGN</v>
      </c>
      <c r="N41" s="41" t="str">
        <f t="shared" si="12"/>
        <v>Pilotage</v>
      </c>
      <c r="O41">
        <f t="shared" si="3"/>
        <v>80000</v>
      </c>
      <c r="P41" s="40">
        <f>IFERROR(VLOOKUP(J41,'Tariff Master'!G:J,2,0),0)</f>
        <v>1.1662999999999999</v>
      </c>
      <c r="Q41">
        <f t="shared" si="4"/>
        <v>1</v>
      </c>
      <c r="R41" s="45">
        <f t="shared" si="5"/>
        <v>93303.999999999985</v>
      </c>
      <c r="S41">
        <f>IFERROR(VLOOKUP(J41,'Tariff Master'!G:J,3,0),0)</f>
        <v>16275</v>
      </c>
      <c r="T41" t="str">
        <f>IFERROR(VLOOKUP(J41,'Tariff Master'!G:J,4,0),0)</f>
        <v>USD</v>
      </c>
      <c r="V41">
        <f t="shared" si="6"/>
        <v>83</v>
      </c>
      <c r="W41" s="46">
        <f t="shared" si="7"/>
        <v>0.77442319999999987</v>
      </c>
    </row>
    <row r="42" spans="1:25">
      <c r="A42" t="s">
        <v>183</v>
      </c>
      <c r="B42" t="s">
        <v>97</v>
      </c>
      <c r="C42" t="s">
        <v>140</v>
      </c>
      <c r="D42" t="s">
        <v>103</v>
      </c>
      <c r="E42" t="s">
        <v>0</v>
      </c>
      <c r="F42" s="28">
        <v>6.3500000000000001E-2</v>
      </c>
      <c r="G42" s="28">
        <v>375</v>
      </c>
      <c r="J42" t="str">
        <f t="shared" si="8"/>
        <v>DIGHITANKERFOREIGNPort Dues</v>
      </c>
      <c r="K42" s="41" t="str">
        <f t="shared" si="9"/>
        <v>DIGHI</v>
      </c>
      <c r="L42" s="41" t="str">
        <f t="shared" si="10"/>
        <v>TANKER</v>
      </c>
      <c r="M42" s="41" t="str">
        <f t="shared" si="11"/>
        <v>FOREIGN</v>
      </c>
      <c r="N42" s="41" t="str">
        <f t="shared" si="12"/>
        <v>Port Dues</v>
      </c>
      <c r="O42">
        <f t="shared" si="3"/>
        <v>80000</v>
      </c>
      <c r="P42" s="40">
        <f>IFERROR(VLOOKUP(J42,'Tariff Master'!G:J,2,0),0)</f>
        <v>6.3500000000000001E-2</v>
      </c>
      <c r="Q42">
        <f t="shared" si="4"/>
        <v>1</v>
      </c>
      <c r="R42" s="45">
        <f t="shared" si="5"/>
        <v>5080</v>
      </c>
      <c r="S42">
        <f>IFERROR(VLOOKUP(J42,'Tariff Master'!G:J,3,0),0)</f>
        <v>375</v>
      </c>
      <c r="T42" t="str">
        <f>IFERROR(VLOOKUP(J42,'Tariff Master'!G:J,4,0),0)</f>
        <v>USD</v>
      </c>
      <c r="V42">
        <f t="shared" si="6"/>
        <v>83</v>
      </c>
      <c r="W42" s="46">
        <f t="shared" si="7"/>
        <v>4.2164E-2</v>
      </c>
    </row>
    <row r="43" spans="1:25">
      <c r="A43" t="s">
        <v>183</v>
      </c>
      <c r="B43" t="s">
        <v>353</v>
      </c>
      <c r="C43" t="s">
        <v>102</v>
      </c>
      <c r="D43" t="s">
        <v>103</v>
      </c>
      <c r="E43" t="s">
        <v>7</v>
      </c>
      <c r="F43" s="28">
        <v>1.2E-2</v>
      </c>
      <c r="G43" s="28">
        <v>900</v>
      </c>
      <c r="J43" t="str">
        <f t="shared" si="8"/>
        <v>GANGAVARAMCONTAINERFOREIGNBerth Hire</v>
      </c>
      <c r="K43" s="41" t="str">
        <f t="shared" si="9"/>
        <v>GANGAVARAM</v>
      </c>
      <c r="L43" s="41" t="str">
        <f t="shared" si="10"/>
        <v>CONTAINER</v>
      </c>
      <c r="M43" s="41" t="str">
        <f t="shared" si="11"/>
        <v>FOREIGN</v>
      </c>
      <c r="N43" s="41" t="str">
        <f t="shared" si="12"/>
        <v>Berth Hire</v>
      </c>
      <c r="O43">
        <f t="shared" si="3"/>
        <v>80000</v>
      </c>
      <c r="P43" s="40">
        <f>IFERROR(VLOOKUP(J43,'Tariff Master'!G:J,2,0),0)</f>
        <v>1.2999999999999999E-2</v>
      </c>
      <c r="Q43">
        <f t="shared" si="4"/>
        <v>23</v>
      </c>
      <c r="R43" s="45">
        <f t="shared" si="5"/>
        <v>23920</v>
      </c>
      <c r="S43">
        <f>IFERROR(VLOOKUP(J43,'Tariff Master'!G:J,3,0),0)</f>
        <v>900</v>
      </c>
      <c r="T43" t="str">
        <f>IFERROR(VLOOKUP(J43,'Tariff Master'!G:J,4,0),0)</f>
        <v>USD</v>
      </c>
      <c r="V43">
        <f t="shared" si="6"/>
        <v>83</v>
      </c>
      <c r="W43" s="46">
        <f t="shared" si="7"/>
        <v>0.19853599999999999</v>
      </c>
    </row>
    <row r="44" spans="1:25">
      <c r="A44" t="s">
        <v>183</v>
      </c>
      <c r="B44" t="s">
        <v>353</v>
      </c>
      <c r="C44" t="s">
        <v>102</v>
      </c>
      <c r="D44" t="s">
        <v>103</v>
      </c>
      <c r="E44" t="s">
        <v>4</v>
      </c>
      <c r="F44" s="28">
        <v>0.03</v>
      </c>
      <c r="G44" s="28">
        <v>200</v>
      </c>
      <c r="J44" t="str">
        <f t="shared" si="8"/>
        <v>GANGAVARAMCONTAINERFOREIGNMooring</v>
      </c>
      <c r="K44" s="41" t="str">
        <f t="shared" si="9"/>
        <v>GANGAVARAM</v>
      </c>
      <c r="L44" s="41" t="str">
        <f t="shared" si="10"/>
        <v>CONTAINER</v>
      </c>
      <c r="M44" s="41" t="str">
        <f t="shared" si="11"/>
        <v>FOREIGN</v>
      </c>
      <c r="N44" s="41" t="str">
        <f t="shared" si="12"/>
        <v>Mooring</v>
      </c>
      <c r="O44">
        <f t="shared" si="3"/>
        <v>80000</v>
      </c>
      <c r="P44" s="40">
        <f>IFERROR(VLOOKUP(J44,'Tariff Master'!G:J,2,0),0)</f>
        <v>0.03</v>
      </c>
      <c r="Q44">
        <f t="shared" si="4"/>
        <v>1</v>
      </c>
      <c r="R44" s="45">
        <f t="shared" si="5"/>
        <v>2400</v>
      </c>
      <c r="S44">
        <f>IFERROR(VLOOKUP(J44,'Tariff Master'!G:J,3,0),0)</f>
        <v>200</v>
      </c>
      <c r="T44" t="str">
        <f>IFERROR(VLOOKUP(J44,'Tariff Master'!G:J,4,0),0)</f>
        <v>USD</v>
      </c>
      <c r="V44">
        <f t="shared" si="6"/>
        <v>83</v>
      </c>
      <c r="W44" s="46">
        <f t="shared" si="7"/>
        <v>1.992E-2</v>
      </c>
    </row>
    <row r="45" spans="1:25">
      <c r="A45" t="s">
        <v>183</v>
      </c>
      <c r="B45" t="s">
        <v>353</v>
      </c>
      <c r="C45" t="s">
        <v>102</v>
      </c>
      <c r="D45" t="s">
        <v>103</v>
      </c>
      <c r="E45" t="s">
        <v>343</v>
      </c>
      <c r="F45" s="28">
        <v>475</v>
      </c>
      <c r="G45" s="28">
        <v>0</v>
      </c>
      <c r="J45" t="str">
        <f t="shared" si="8"/>
        <v>GANGAVARAMCONTAINERFOREIGNPESP &amp; Dredging</v>
      </c>
      <c r="K45" s="41" t="str">
        <f t="shared" si="9"/>
        <v>GANGAVARAM</v>
      </c>
      <c r="L45" s="41" t="str">
        <f t="shared" si="10"/>
        <v>CONTAINER</v>
      </c>
      <c r="M45" s="41" t="str">
        <f t="shared" si="11"/>
        <v>FOREIGN</v>
      </c>
      <c r="N45" s="41" t="str">
        <f t="shared" si="12"/>
        <v>PESP &amp; Dredging</v>
      </c>
      <c r="O45">
        <f t="shared" si="3"/>
        <v>1</v>
      </c>
      <c r="P45" s="40">
        <f>IFERROR(VLOOKUP(J45,'Tariff Master'!G:J,2,0),0)</f>
        <v>0</v>
      </c>
      <c r="Q45">
        <f t="shared" ref="Q45:Q76" si="13">IF(N45="Berth Hire",$X$2,1)</f>
        <v>1</v>
      </c>
      <c r="R45" s="45">
        <f t="shared" ref="R45:R76" si="14">MAX(O45*P45*IF(N45="Berth Hire",Q45,1),S45)</f>
        <v>0</v>
      </c>
      <c r="S45">
        <f>IFERROR(VLOOKUP(J45,'Tariff Master'!G:J,3,0),0)</f>
        <v>0</v>
      </c>
      <c r="T45" t="str">
        <f>IFERROR(VLOOKUP(J45,'Tariff Master'!G:J,4,0),0)</f>
        <v>USD</v>
      </c>
      <c r="V45">
        <f t="shared" ref="V45:V76" si="15">$X$3</f>
        <v>83</v>
      </c>
      <c r="W45" s="46">
        <f t="shared" ref="W45:W76" si="16">R45*IF(T45="USD",V45,1)/10^7</f>
        <v>0</v>
      </c>
      <c r="Y45" s="49">
        <f t="shared" ref="Y45:Y50" si="17">R45*IF(T45="USD",V45,1)</f>
        <v>0</v>
      </c>
    </row>
    <row r="46" spans="1:25">
      <c r="A46" t="s">
        <v>183</v>
      </c>
      <c r="B46" t="s">
        <v>353</v>
      </c>
      <c r="C46" t="s">
        <v>102</v>
      </c>
      <c r="D46" t="s">
        <v>103</v>
      </c>
      <c r="E46" t="s">
        <v>3</v>
      </c>
      <c r="F46" s="28">
        <v>1.3440000000000001</v>
      </c>
      <c r="G46" s="28">
        <v>15750</v>
      </c>
      <c r="J46" t="str">
        <f t="shared" si="8"/>
        <v>GANGAVARAMCONTAINERFOREIGNPilotage</v>
      </c>
      <c r="K46" s="41" t="str">
        <f t="shared" si="9"/>
        <v>GANGAVARAM</v>
      </c>
      <c r="L46" s="41" t="str">
        <f t="shared" si="10"/>
        <v>CONTAINER</v>
      </c>
      <c r="M46" s="41" t="str">
        <f t="shared" si="11"/>
        <v>FOREIGN</v>
      </c>
      <c r="N46" s="41" t="str">
        <f t="shared" si="12"/>
        <v>Pilotage</v>
      </c>
      <c r="O46">
        <f t="shared" si="3"/>
        <v>80000</v>
      </c>
      <c r="P46" s="40">
        <f>IFERROR(VLOOKUP(J46,'Tariff Master'!G:J,2,0),0)</f>
        <v>1.5109999999999999</v>
      </c>
      <c r="Q46">
        <f t="shared" si="13"/>
        <v>1</v>
      </c>
      <c r="R46" s="45">
        <f t="shared" si="14"/>
        <v>120879.99999999999</v>
      </c>
      <c r="S46">
        <f>IFERROR(VLOOKUP(J46,'Tariff Master'!G:J,3,0),0)</f>
        <v>15750</v>
      </c>
      <c r="T46" t="str">
        <f>IFERROR(VLOOKUP(J46,'Tariff Master'!G:J,4,0),0)</f>
        <v>USD</v>
      </c>
      <c r="V46">
        <f t="shared" si="15"/>
        <v>83</v>
      </c>
      <c r="W46" s="46">
        <f t="shared" si="16"/>
        <v>1.0033039999999998</v>
      </c>
      <c r="Y46" s="49">
        <f t="shared" si="17"/>
        <v>10033039.999999998</v>
      </c>
    </row>
    <row r="47" spans="1:25">
      <c r="A47" t="s">
        <v>183</v>
      </c>
      <c r="B47" t="s">
        <v>353</v>
      </c>
      <c r="C47" t="s">
        <v>102</v>
      </c>
      <c r="D47" t="s">
        <v>103</v>
      </c>
      <c r="E47" t="s">
        <v>0</v>
      </c>
      <c r="F47" s="28">
        <v>0.13700000000000001</v>
      </c>
      <c r="G47" s="28">
        <v>700</v>
      </c>
      <c r="J47" t="str">
        <f t="shared" si="8"/>
        <v>GANGAVARAMCONTAINERFOREIGNPort Dues</v>
      </c>
      <c r="K47" s="41" t="str">
        <f t="shared" si="9"/>
        <v>GANGAVARAM</v>
      </c>
      <c r="L47" s="41" t="str">
        <f t="shared" si="10"/>
        <v>CONTAINER</v>
      </c>
      <c r="M47" s="41" t="str">
        <f t="shared" si="11"/>
        <v>FOREIGN</v>
      </c>
      <c r="N47" s="41" t="str">
        <f t="shared" si="12"/>
        <v>Port Dues</v>
      </c>
      <c r="O47">
        <f>IF(J47="krishnapattnam",W4,IF(J47="dahej",X1,X1))</f>
        <v>80000</v>
      </c>
      <c r="P47" s="40">
        <f>IFERROR(VLOOKUP(J47,'Tariff Master'!G:J,2,0),0)</f>
        <v>0.154</v>
      </c>
      <c r="Q47">
        <f t="shared" si="13"/>
        <v>1</v>
      </c>
      <c r="R47" s="45">
        <f t="shared" si="14"/>
        <v>12320</v>
      </c>
      <c r="S47">
        <f>IFERROR(VLOOKUP(J47,'Tariff Master'!G:J,3,0),0)</f>
        <v>700</v>
      </c>
      <c r="T47" t="str">
        <f>IFERROR(VLOOKUP(J47,'Tariff Master'!G:J,4,0),0)</f>
        <v>USD</v>
      </c>
      <c r="V47">
        <f t="shared" si="15"/>
        <v>83</v>
      </c>
      <c r="W47" s="46">
        <f t="shared" si="16"/>
        <v>0.102256</v>
      </c>
      <c r="Y47" s="49">
        <f t="shared" si="17"/>
        <v>1022560</v>
      </c>
    </row>
    <row r="48" spans="1:25">
      <c r="A48" t="s">
        <v>183</v>
      </c>
      <c r="B48" t="s">
        <v>353</v>
      </c>
      <c r="C48" t="s">
        <v>102</v>
      </c>
      <c r="D48" t="s">
        <v>103</v>
      </c>
      <c r="E48" t="s">
        <v>351</v>
      </c>
      <c r="F48" s="28">
        <v>5</v>
      </c>
      <c r="G48" s="28">
        <v>0</v>
      </c>
      <c r="J48" t="str">
        <f t="shared" si="8"/>
        <v>GANGAVARAMCONTAINERFOREIGNSustainability</v>
      </c>
      <c r="K48" s="41" t="str">
        <f t="shared" si="9"/>
        <v>GANGAVARAM</v>
      </c>
      <c r="L48" s="41" t="str">
        <f t="shared" si="10"/>
        <v>CONTAINER</v>
      </c>
      <c r="M48" s="41" t="str">
        <f t="shared" si="11"/>
        <v>FOREIGN</v>
      </c>
      <c r="N48" s="41" t="str">
        <f t="shared" si="12"/>
        <v>Sustainability</v>
      </c>
      <c r="O48">
        <f t="shared" ref="O48:O79" si="18">IF(N48="PESP &amp; Dredging",1,$X$1)</f>
        <v>80000</v>
      </c>
      <c r="P48" s="40">
        <f>IFERROR(VLOOKUP(J48,'Tariff Master'!G:J,2,0),0)</f>
        <v>5</v>
      </c>
      <c r="Q48">
        <f t="shared" si="13"/>
        <v>1</v>
      </c>
      <c r="R48" s="45">
        <f t="shared" si="14"/>
        <v>400000</v>
      </c>
      <c r="S48">
        <f>IFERROR(VLOOKUP(J48,'Tariff Master'!G:J,3,0),0)</f>
        <v>0</v>
      </c>
      <c r="T48" t="str">
        <f>IFERROR(VLOOKUP(J48,'Tariff Master'!G:J,4,0),0)</f>
        <v>INR</v>
      </c>
      <c r="V48">
        <f t="shared" si="15"/>
        <v>83</v>
      </c>
      <c r="W48" s="46">
        <f t="shared" si="16"/>
        <v>0.04</v>
      </c>
      <c r="Y48" s="49">
        <f t="shared" si="17"/>
        <v>400000</v>
      </c>
    </row>
    <row r="49" spans="1:25">
      <c r="A49" t="s">
        <v>183</v>
      </c>
      <c r="B49" t="s">
        <v>353</v>
      </c>
      <c r="C49" t="s">
        <v>355</v>
      </c>
      <c r="D49" t="s">
        <v>103</v>
      </c>
      <c r="E49" t="s">
        <v>7</v>
      </c>
      <c r="F49" s="28">
        <v>1.2E-2</v>
      </c>
      <c r="G49" s="28">
        <v>900</v>
      </c>
      <c r="J49" t="str">
        <f t="shared" si="8"/>
        <v>GANGAVARAMDRY BULKFOREIGNBerth Hire</v>
      </c>
      <c r="K49" s="41" t="str">
        <f t="shared" si="9"/>
        <v>GANGAVARAM</v>
      </c>
      <c r="L49" s="41" t="str">
        <f t="shared" si="10"/>
        <v>DRY BULK</v>
      </c>
      <c r="M49" s="41" t="str">
        <f t="shared" si="11"/>
        <v>FOREIGN</v>
      </c>
      <c r="N49" s="41" t="str">
        <f t="shared" si="12"/>
        <v>Berth Hire</v>
      </c>
      <c r="O49">
        <f t="shared" si="18"/>
        <v>80000</v>
      </c>
      <c r="P49" s="40">
        <f>IFERROR(VLOOKUP(J49,'Tariff Master'!G:J,2,0),0)</f>
        <v>1.2999999999999999E-2</v>
      </c>
      <c r="Q49">
        <f t="shared" si="13"/>
        <v>23</v>
      </c>
      <c r="R49" s="45">
        <f t="shared" si="14"/>
        <v>23920</v>
      </c>
      <c r="S49">
        <f>IFERROR(VLOOKUP(J49,'Tariff Master'!G:J,3,0),0)</f>
        <v>900</v>
      </c>
      <c r="T49" t="str">
        <f>IFERROR(VLOOKUP(J49,'Tariff Master'!G:J,4,0),0)</f>
        <v>USD</v>
      </c>
      <c r="V49">
        <f t="shared" si="15"/>
        <v>83</v>
      </c>
      <c r="W49" s="46">
        <f t="shared" si="16"/>
        <v>0.19853599999999999</v>
      </c>
      <c r="Y49" s="49">
        <f t="shared" si="17"/>
        <v>1985360</v>
      </c>
    </row>
    <row r="50" spans="1:25">
      <c r="A50" t="s">
        <v>183</v>
      </c>
      <c r="B50" t="s">
        <v>353</v>
      </c>
      <c r="C50" t="s">
        <v>355</v>
      </c>
      <c r="D50" t="s">
        <v>103</v>
      </c>
      <c r="E50" t="s">
        <v>4</v>
      </c>
      <c r="F50" s="28">
        <v>0.03</v>
      </c>
      <c r="G50" s="28">
        <v>200</v>
      </c>
      <c r="J50" t="str">
        <f t="shared" si="8"/>
        <v>GANGAVARAMDRY BULKFOREIGNMooring</v>
      </c>
      <c r="K50" s="41" t="str">
        <f t="shared" si="9"/>
        <v>GANGAVARAM</v>
      </c>
      <c r="L50" s="41" t="str">
        <f t="shared" si="10"/>
        <v>DRY BULK</v>
      </c>
      <c r="M50" s="41" t="str">
        <f t="shared" si="11"/>
        <v>FOREIGN</v>
      </c>
      <c r="N50" s="41" t="str">
        <f t="shared" si="12"/>
        <v>Mooring</v>
      </c>
      <c r="O50">
        <f t="shared" si="18"/>
        <v>80000</v>
      </c>
      <c r="P50" s="40">
        <f>IFERROR(VLOOKUP(J50,'Tariff Master'!G:J,2,0),0)</f>
        <v>0.03</v>
      </c>
      <c r="Q50">
        <f t="shared" si="13"/>
        <v>1</v>
      </c>
      <c r="R50" s="45">
        <f t="shared" si="14"/>
        <v>2400</v>
      </c>
      <c r="S50">
        <f>IFERROR(VLOOKUP(J50,'Tariff Master'!G:J,3,0),0)</f>
        <v>200</v>
      </c>
      <c r="T50" t="str">
        <f>IFERROR(VLOOKUP(J50,'Tariff Master'!G:J,4,0),0)</f>
        <v>USD</v>
      </c>
      <c r="V50">
        <f t="shared" si="15"/>
        <v>83</v>
      </c>
      <c r="W50" s="46">
        <f t="shared" si="16"/>
        <v>1.992E-2</v>
      </c>
      <c r="Y50" s="49">
        <f t="shared" si="17"/>
        <v>199200</v>
      </c>
    </row>
    <row r="51" spans="1:25">
      <c r="A51" t="s">
        <v>183</v>
      </c>
      <c r="B51" t="s">
        <v>353</v>
      </c>
      <c r="C51" t="s">
        <v>355</v>
      </c>
      <c r="D51" t="s">
        <v>103</v>
      </c>
      <c r="E51" t="s">
        <v>343</v>
      </c>
      <c r="F51" s="28">
        <v>475</v>
      </c>
      <c r="G51" s="28">
        <v>0</v>
      </c>
      <c r="J51" t="str">
        <f t="shared" si="8"/>
        <v>GANGAVARAMDRY BULKFOREIGNPESP &amp; Dredging</v>
      </c>
      <c r="K51" s="41" t="str">
        <f t="shared" si="9"/>
        <v>GANGAVARAM</v>
      </c>
      <c r="L51" s="41" t="str">
        <f t="shared" si="10"/>
        <v>DRY BULK</v>
      </c>
      <c r="M51" s="41" t="str">
        <f t="shared" si="11"/>
        <v>FOREIGN</v>
      </c>
      <c r="N51" s="41" t="str">
        <f t="shared" si="12"/>
        <v>PESP &amp; Dredging</v>
      </c>
      <c r="O51">
        <f t="shared" si="18"/>
        <v>1</v>
      </c>
      <c r="P51" s="40">
        <f>IFERROR(VLOOKUP(J51,'Tariff Master'!G:J,2,0),0)</f>
        <v>630</v>
      </c>
      <c r="Q51">
        <f t="shared" si="13"/>
        <v>1</v>
      </c>
      <c r="R51" s="45">
        <f t="shared" si="14"/>
        <v>630</v>
      </c>
      <c r="S51">
        <f>IFERROR(VLOOKUP(J51,'Tariff Master'!G:J,3,0),0)</f>
        <v>0</v>
      </c>
      <c r="T51" t="str">
        <f>IFERROR(VLOOKUP(J51,'Tariff Master'!G:J,4,0),0)</f>
        <v>USD</v>
      </c>
      <c r="V51">
        <f t="shared" si="15"/>
        <v>83</v>
      </c>
      <c r="W51" s="46">
        <f t="shared" si="16"/>
        <v>5.2290000000000001E-3</v>
      </c>
    </row>
    <row r="52" spans="1:25">
      <c r="A52" t="s">
        <v>183</v>
      </c>
      <c r="B52" t="s">
        <v>353</v>
      </c>
      <c r="C52" t="s">
        <v>355</v>
      </c>
      <c r="D52" t="s">
        <v>103</v>
      </c>
      <c r="E52" t="s">
        <v>3</v>
      </c>
      <c r="F52" s="28">
        <v>1.3440000000000001</v>
      </c>
      <c r="G52" s="28">
        <v>15750</v>
      </c>
      <c r="J52" t="str">
        <f t="shared" si="8"/>
        <v>GANGAVARAMDRY BULKFOREIGNPilotage</v>
      </c>
      <c r="K52" s="41" t="str">
        <f t="shared" si="9"/>
        <v>GANGAVARAM</v>
      </c>
      <c r="L52" s="41" t="str">
        <f t="shared" si="10"/>
        <v>DRY BULK</v>
      </c>
      <c r="M52" s="41" t="str">
        <f t="shared" si="11"/>
        <v>FOREIGN</v>
      </c>
      <c r="N52" s="41" t="str">
        <f t="shared" si="12"/>
        <v>Pilotage</v>
      </c>
      <c r="O52">
        <f t="shared" si="18"/>
        <v>80000</v>
      </c>
      <c r="P52" s="40">
        <f>IFERROR(VLOOKUP(J52,'Tariff Master'!G:J,2,0),0)</f>
        <v>1.5109999999999999</v>
      </c>
      <c r="Q52">
        <f t="shared" si="13"/>
        <v>1</v>
      </c>
      <c r="R52" s="45">
        <f t="shared" si="14"/>
        <v>120879.99999999999</v>
      </c>
      <c r="S52">
        <f>IFERROR(VLOOKUP(J52,'Tariff Master'!G:J,3,0),0)</f>
        <v>15750</v>
      </c>
      <c r="T52" t="str">
        <f>IFERROR(VLOOKUP(J52,'Tariff Master'!G:J,4,0),0)</f>
        <v>USD</v>
      </c>
      <c r="V52">
        <f t="shared" si="15"/>
        <v>83</v>
      </c>
      <c r="W52" s="46">
        <f t="shared" si="16"/>
        <v>1.0033039999999998</v>
      </c>
    </row>
    <row r="53" spans="1:25">
      <c r="A53" t="s">
        <v>183</v>
      </c>
      <c r="B53" t="s">
        <v>353</v>
      </c>
      <c r="C53" t="s">
        <v>355</v>
      </c>
      <c r="D53" t="s">
        <v>103</v>
      </c>
      <c r="E53" t="s">
        <v>0</v>
      </c>
      <c r="F53" s="28">
        <v>0.13700000000000001</v>
      </c>
      <c r="G53" s="28">
        <v>700</v>
      </c>
      <c r="J53" t="str">
        <f t="shared" ref="J53:J108" si="19">K53&amp;L53&amp;M53&amp;N53</f>
        <v>GANGAVARAMDRY BULKFOREIGNPort Dues</v>
      </c>
      <c r="K53" s="41" t="str">
        <f t="shared" ref="K53:K108" si="20">B53</f>
        <v>GANGAVARAM</v>
      </c>
      <c r="L53" s="41" t="str">
        <f t="shared" ref="L53:L108" si="21">C53</f>
        <v>DRY BULK</v>
      </c>
      <c r="M53" s="41" t="str">
        <f t="shared" ref="M53:M108" si="22">D53</f>
        <v>FOREIGN</v>
      </c>
      <c r="N53" s="41" t="str">
        <f t="shared" ref="N53:N108" si="23">E53</f>
        <v>Port Dues</v>
      </c>
      <c r="O53">
        <f t="shared" si="18"/>
        <v>80000</v>
      </c>
      <c r="P53" s="40">
        <f>IFERROR(VLOOKUP(J53,'Tariff Master'!G:J,2,0),0)</f>
        <v>0.154</v>
      </c>
      <c r="Q53">
        <f t="shared" si="13"/>
        <v>1</v>
      </c>
      <c r="R53" s="45">
        <f t="shared" si="14"/>
        <v>12320</v>
      </c>
      <c r="S53">
        <f>IFERROR(VLOOKUP(J53,'Tariff Master'!G:J,3,0),0)</f>
        <v>700</v>
      </c>
      <c r="T53" t="str">
        <f>IFERROR(VLOOKUP(J53,'Tariff Master'!G:J,4,0),0)</f>
        <v>USD</v>
      </c>
      <c r="V53">
        <f t="shared" si="15"/>
        <v>83</v>
      </c>
      <c r="W53" s="46">
        <f t="shared" si="16"/>
        <v>0.102256</v>
      </c>
    </row>
    <row r="54" spans="1:25">
      <c r="A54" t="s">
        <v>183</v>
      </c>
      <c r="B54" t="s">
        <v>353</v>
      </c>
      <c r="C54" t="s">
        <v>355</v>
      </c>
      <c r="D54" t="s">
        <v>103</v>
      </c>
      <c r="E54" t="s">
        <v>351</v>
      </c>
      <c r="F54" s="28">
        <v>5</v>
      </c>
      <c r="G54" s="28">
        <v>0</v>
      </c>
      <c r="J54" t="str">
        <f t="shared" si="19"/>
        <v>GANGAVARAMDRY BULKFOREIGNSustainability</v>
      </c>
      <c r="K54" s="41" t="str">
        <f t="shared" si="20"/>
        <v>GANGAVARAM</v>
      </c>
      <c r="L54" s="41" t="str">
        <f t="shared" si="21"/>
        <v>DRY BULK</v>
      </c>
      <c r="M54" s="41" t="str">
        <f t="shared" si="22"/>
        <v>FOREIGN</v>
      </c>
      <c r="N54" s="41" t="str">
        <f t="shared" si="23"/>
        <v>Sustainability</v>
      </c>
      <c r="O54">
        <f t="shared" si="18"/>
        <v>80000</v>
      </c>
      <c r="P54" s="40">
        <f>IFERROR(VLOOKUP(J54,'Tariff Master'!G:J,2,0),0)</f>
        <v>5</v>
      </c>
      <c r="Q54">
        <f t="shared" si="13"/>
        <v>1</v>
      </c>
      <c r="R54" s="45">
        <f t="shared" si="14"/>
        <v>400000</v>
      </c>
      <c r="S54">
        <f>IFERROR(VLOOKUP(J54,'Tariff Master'!G:J,3,0),0)</f>
        <v>0</v>
      </c>
      <c r="T54" t="str">
        <f>IFERROR(VLOOKUP(J54,'Tariff Master'!G:J,4,0),0)</f>
        <v>INR</v>
      </c>
      <c r="V54">
        <f t="shared" si="15"/>
        <v>83</v>
      </c>
      <c r="W54" s="46">
        <f t="shared" si="16"/>
        <v>0.04</v>
      </c>
    </row>
    <row r="55" spans="1:25">
      <c r="A55" t="s">
        <v>183</v>
      </c>
      <c r="B55" t="s">
        <v>353</v>
      </c>
      <c r="C55" t="s">
        <v>373</v>
      </c>
      <c r="D55" t="s">
        <v>103</v>
      </c>
      <c r="E55" t="s">
        <v>7</v>
      </c>
      <c r="F55" s="28">
        <v>1.2E-2</v>
      </c>
      <c r="G55" s="28">
        <v>900</v>
      </c>
      <c r="J55" t="str">
        <f t="shared" si="19"/>
        <v>GANGAVARAMBREAK BULKFOREIGNBerth Hire</v>
      </c>
      <c r="K55" s="41" t="str">
        <f t="shared" si="20"/>
        <v>GANGAVARAM</v>
      </c>
      <c r="L55" s="41" t="str">
        <f t="shared" si="21"/>
        <v>BREAK BULK</v>
      </c>
      <c r="M55" s="41" t="str">
        <f t="shared" si="22"/>
        <v>FOREIGN</v>
      </c>
      <c r="N55" s="41" t="str">
        <f t="shared" si="23"/>
        <v>Berth Hire</v>
      </c>
      <c r="O55">
        <f t="shared" si="18"/>
        <v>80000</v>
      </c>
      <c r="P55" s="40">
        <f>IFERROR(VLOOKUP(J55,'Tariff Master'!G:J,2,0),0)</f>
        <v>1.2999999999999999E-2</v>
      </c>
      <c r="Q55">
        <f t="shared" si="13"/>
        <v>23</v>
      </c>
      <c r="R55" s="45">
        <f t="shared" si="14"/>
        <v>23920</v>
      </c>
      <c r="S55">
        <f>IFERROR(VLOOKUP(J55,'Tariff Master'!G:J,3,0),0)</f>
        <v>900</v>
      </c>
      <c r="T55" t="str">
        <f>IFERROR(VLOOKUP(J55,'Tariff Master'!G:J,4,0),0)</f>
        <v>USD</v>
      </c>
      <c r="V55">
        <f t="shared" si="15"/>
        <v>83</v>
      </c>
      <c r="W55" s="46">
        <f t="shared" si="16"/>
        <v>0.19853599999999999</v>
      </c>
    </row>
    <row r="56" spans="1:25">
      <c r="A56" t="s">
        <v>183</v>
      </c>
      <c r="B56" t="s">
        <v>353</v>
      </c>
      <c r="C56" t="s">
        <v>373</v>
      </c>
      <c r="D56" t="s">
        <v>103</v>
      </c>
      <c r="E56" t="s">
        <v>4</v>
      </c>
      <c r="F56" s="28">
        <v>0.03</v>
      </c>
      <c r="G56" s="28">
        <v>200</v>
      </c>
      <c r="J56" t="str">
        <f t="shared" si="19"/>
        <v>GANGAVARAMBREAK BULKFOREIGNMooring</v>
      </c>
      <c r="K56" s="41" t="str">
        <f t="shared" si="20"/>
        <v>GANGAVARAM</v>
      </c>
      <c r="L56" s="41" t="str">
        <f t="shared" si="21"/>
        <v>BREAK BULK</v>
      </c>
      <c r="M56" s="41" t="str">
        <f t="shared" si="22"/>
        <v>FOREIGN</v>
      </c>
      <c r="N56" s="41" t="str">
        <f t="shared" si="23"/>
        <v>Mooring</v>
      </c>
      <c r="O56">
        <f t="shared" si="18"/>
        <v>80000</v>
      </c>
      <c r="P56" s="40">
        <f>IFERROR(VLOOKUP(J56,'Tariff Master'!G:J,2,0),0)</f>
        <v>0.03</v>
      </c>
      <c r="Q56">
        <f t="shared" si="13"/>
        <v>1</v>
      </c>
      <c r="R56" s="45">
        <f t="shared" si="14"/>
        <v>2400</v>
      </c>
      <c r="S56">
        <f>IFERROR(VLOOKUP(J56,'Tariff Master'!G:J,3,0),0)</f>
        <v>200</v>
      </c>
      <c r="T56" t="str">
        <f>IFERROR(VLOOKUP(J56,'Tariff Master'!G:J,4,0),0)</f>
        <v>USD</v>
      </c>
      <c r="V56">
        <f t="shared" si="15"/>
        <v>83</v>
      </c>
      <c r="W56" s="46">
        <f t="shared" si="16"/>
        <v>1.992E-2</v>
      </c>
    </row>
    <row r="57" spans="1:25">
      <c r="A57" t="s">
        <v>183</v>
      </c>
      <c r="B57" t="s">
        <v>353</v>
      </c>
      <c r="C57" t="s">
        <v>373</v>
      </c>
      <c r="D57" t="s">
        <v>103</v>
      </c>
      <c r="E57" t="s">
        <v>343</v>
      </c>
      <c r="F57" s="28">
        <v>475</v>
      </c>
      <c r="G57" s="28">
        <v>0</v>
      </c>
      <c r="J57" t="str">
        <f t="shared" si="19"/>
        <v>GANGAVARAMBREAK BULKFOREIGNPESP &amp; Dredging</v>
      </c>
      <c r="K57" s="41" t="str">
        <f t="shared" si="20"/>
        <v>GANGAVARAM</v>
      </c>
      <c r="L57" s="41" t="str">
        <f t="shared" si="21"/>
        <v>BREAK BULK</v>
      </c>
      <c r="M57" s="41" t="str">
        <f t="shared" si="22"/>
        <v>FOREIGN</v>
      </c>
      <c r="N57" s="41" t="str">
        <f t="shared" si="23"/>
        <v>PESP &amp; Dredging</v>
      </c>
      <c r="O57">
        <f t="shared" si="18"/>
        <v>1</v>
      </c>
      <c r="P57" s="40">
        <f>IFERROR(VLOOKUP(J57,'Tariff Master'!G:J,2,0),0)</f>
        <v>630</v>
      </c>
      <c r="Q57">
        <f t="shared" si="13"/>
        <v>1</v>
      </c>
      <c r="R57" s="45">
        <f t="shared" si="14"/>
        <v>630</v>
      </c>
      <c r="S57">
        <f>IFERROR(VLOOKUP(J57,'Tariff Master'!G:J,3,0),0)</f>
        <v>0</v>
      </c>
      <c r="T57" t="str">
        <f>IFERROR(VLOOKUP(J57,'Tariff Master'!G:J,4,0),0)</f>
        <v>USD</v>
      </c>
      <c r="V57">
        <f t="shared" si="15"/>
        <v>83</v>
      </c>
      <c r="W57" s="46">
        <f t="shared" si="16"/>
        <v>5.2290000000000001E-3</v>
      </c>
    </row>
    <row r="58" spans="1:25">
      <c r="A58" t="s">
        <v>183</v>
      </c>
      <c r="B58" t="s">
        <v>353</v>
      </c>
      <c r="C58" t="s">
        <v>373</v>
      </c>
      <c r="D58" t="s">
        <v>103</v>
      </c>
      <c r="E58" t="s">
        <v>3</v>
      </c>
      <c r="F58" s="28">
        <v>1.3440000000000001</v>
      </c>
      <c r="G58" s="28">
        <v>15750</v>
      </c>
      <c r="J58" t="str">
        <f t="shared" si="19"/>
        <v>GANGAVARAMBREAK BULKFOREIGNPilotage</v>
      </c>
      <c r="K58" s="41" t="str">
        <f t="shared" si="20"/>
        <v>GANGAVARAM</v>
      </c>
      <c r="L58" s="41" t="str">
        <f t="shared" si="21"/>
        <v>BREAK BULK</v>
      </c>
      <c r="M58" s="41" t="str">
        <f t="shared" si="22"/>
        <v>FOREIGN</v>
      </c>
      <c r="N58" s="41" t="str">
        <f t="shared" si="23"/>
        <v>Pilotage</v>
      </c>
      <c r="O58">
        <f t="shared" si="18"/>
        <v>80000</v>
      </c>
      <c r="P58" s="40">
        <f>IFERROR(VLOOKUP(J58,'Tariff Master'!G:J,2,0),0)</f>
        <v>1.5109999999999999</v>
      </c>
      <c r="Q58">
        <f t="shared" si="13"/>
        <v>1</v>
      </c>
      <c r="R58" s="45">
        <f t="shared" si="14"/>
        <v>120879.99999999999</v>
      </c>
      <c r="S58">
        <f>IFERROR(VLOOKUP(J58,'Tariff Master'!G:J,3,0),0)</f>
        <v>15750</v>
      </c>
      <c r="T58" t="str">
        <f>IFERROR(VLOOKUP(J58,'Tariff Master'!G:J,4,0),0)</f>
        <v>USD</v>
      </c>
      <c r="V58">
        <f t="shared" si="15"/>
        <v>83</v>
      </c>
      <c r="W58" s="46">
        <f t="shared" si="16"/>
        <v>1.0033039999999998</v>
      </c>
    </row>
    <row r="59" spans="1:25">
      <c r="A59" t="s">
        <v>183</v>
      </c>
      <c r="B59" t="s">
        <v>353</v>
      </c>
      <c r="C59" t="s">
        <v>373</v>
      </c>
      <c r="D59" t="s">
        <v>103</v>
      </c>
      <c r="E59" t="s">
        <v>0</v>
      </c>
      <c r="F59" s="28">
        <v>0.13700000000000001</v>
      </c>
      <c r="G59" s="28">
        <v>700</v>
      </c>
      <c r="J59" t="str">
        <f t="shared" si="19"/>
        <v>GANGAVARAMBREAK BULKFOREIGNPort Dues</v>
      </c>
      <c r="K59" s="41" t="str">
        <f t="shared" si="20"/>
        <v>GANGAVARAM</v>
      </c>
      <c r="L59" s="41" t="str">
        <f t="shared" si="21"/>
        <v>BREAK BULK</v>
      </c>
      <c r="M59" s="41" t="str">
        <f t="shared" si="22"/>
        <v>FOREIGN</v>
      </c>
      <c r="N59" s="41" t="str">
        <f t="shared" si="23"/>
        <v>Port Dues</v>
      </c>
      <c r="O59">
        <f t="shared" si="18"/>
        <v>80000</v>
      </c>
      <c r="P59" s="40">
        <f>IFERROR(VLOOKUP(J59,'Tariff Master'!G:J,2,0),0)</f>
        <v>0.154</v>
      </c>
      <c r="Q59">
        <f t="shared" si="13"/>
        <v>1</v>
      </c>
      <c r="R59" s="45">
        <f t="shared" si="14"/>
        <v>12320</v>
      </c>
      <c r="S59">
        <f>IFERROR(VLOOKUP(J59,'Tariff Master'!G:J,3,0),0)</f>
        <v>700</v>
      </c>
      <c r="T59" t="str">
        <f>IFERROR(VLOOKUP(J59,'Tariff Master'!G:J,4,0),0)</f>
        <v>USD</v>
      </c>
      <c r="V59">
        <f t="shared" si="15"/>
        <v>83</v>
      </c>
      <c r="W59" s="46">
        <f t="shared" si="16"/>
        <v>0.102256</v>
      </c>
    </row>
    <row r="60" spans="1:25">
      <c r="A60" t="s">
        <v>183</v>
      </c>
      <c r="B60" t="s">
        <v>353</v>
      </c>
      <c r="C60" t="s">
        <v>373</v>
      </c>
      <c r="D60" t="s">
        <v>103</v>
      </c>
      <c r="E60" t="s">
        <v>351</v>
      </c>
      <c r="F60" s="28">
        <v>5</v>
      </c>
      <c r="G60" s="28">
        <v>0</v>
      </c>
      <c r="J60" t="str">
        <f t="shared" si="19"/>
        <v>GANGAVARAMBREAK BULKFOREIGNSustainability</v>
      </c>
      <c r="K60" s="41" t="str">
        <f t="shared" si="20"/>
        <v>GANGAVARAM</v>
      </c>
      <c r="L60" s="41" t="str">
        <f t="shared" si="21"/>
        <v>BREAK BULK</v>
      </c>
      <c r="M60" s="41" t="str">
        <f t="shared" si="22"/>
        <v>FOREIGN</v>
      </c>
      <c r="N60" s="41" t="str">
        <f t="shared" si="23"/>
        <v>Sustainability</v>
      </c>
      <c r="O60">
        <f t="shared" si="18"/>
        <v>80000</v>
      </c>
      <c r="P60" s="40">
        <f>IFERROR(VLOOKUP(J60,'Tariff Master'!G:J,2,0),0)</f>
        <v>5</v>
      </c>
      <c r="Q60">
        <f t="shared" si="13"/>
        <v>1</v>
      </c>
      <c r="R60" s="45">
        <f t="shared" si="14"/>
        <v>400000</v>
      </c>
      <c r="S60">
        <f>IFERROR(VLOOKUP(J60,'Tariff Master'!G:J,3,0),0)</f>
        <v>0</v>
      </c>
      <c r="T60" t="str">
        <f>IFERROR(VLOOKUP(J60,'Tariff Master'!G:J,4,0),0)</f>
        <v>INR</v>
      </c>
      <c r="V60">
        <f t="shared" si="15"/>
        <v>83</v>
      </c>
      <c r="W60" s="46">
        <f t="shared" si="16"/>
        <v>0.04</v>
      </c>
    </row>
    <row r="61" spans="1:25">
      <c r="A61" t="s">
        <v>183</v>
      </c>
      <c r="B61" t="s">
        <v>88</v>
      </c>
      <c r="C61" t="s">
        <v>102</v>
      </c>
      <c r="D61" t="s">
        <v>103</v>
      </c>
      <c r="E61" t="s">
        <v>7</v>
      </c>
      <c r="F61" s="28">
        <v>1.11E-2</v>
      </c>
      <c r="G61" s="28">
        <v>690</v>
      </c>
      <c r="J61" t="str">
        <f t="shared" si="19"/>
        <v>HAZIRACONTAINERFOREIGNBerth Hire</v>
      </c>
      <c r="K61" s="41" t="str">
        <f t="shared" si="20"/>
        <v>HAZIRA</v>
      </c>
      <c r="L61" s="41" t="str">
        <f t="shared" si="21"/>
        <v>CONTAINER</v>
      </c>
      <c r="M61" s="41" t="str">
        <f t="shared" si="22"/>
        <v>FOREIGN</v>
      </c>
      <c r="N61" s="41" t="str">
        <f t="shared" si="23"/>
        <v>Berth Hire</v>
      </c>
      <c r="O61">
        <f t="shared" si="18"/>
        <v>80000</v>
      </c>
      <c r="P61" s="40">
        <f>IFERROR(VLOOKUP(J61,'Tariff Master'!G:J,2,0),0)</f>
        <v>1.11E-2</v>
      </c>
      <c r="Q61">
        <f t="shared" si="13"/>
        <v>23</v>
      </c>
      <c r="R61" s="45">
        <f t="shared" si="14"/>
        <v>20424</v>
      </c>
      <c r="S61">
        <f>IFERROR(VLOOKUP(J61,'Tariff Master'!G:J,3,0),0)</f>
        <v>690</v>
      </c>
      <c r="T61" t="str">
        <f>IFERROR(VLOOKUP(J61,'Tariff Master'!G:J,4,0),0)</f>
        <v>USD</v>
      </c>
      <c r="V61">
        <f t="shared" si="15"/>
        <v>83</v>
      </c>
      <c r="W61" s="46">
        <f t="shared" si="16"/>
        <v>0.16951920000000001</v>
      </c>
    </row>
    <row r="62" spans="1:25">
      <c r="A62" t="s">
        <v>183</v>
      </c>
      <c r="B62" t="s">
        <v>88</v>
      </c>
      <c r="C62" t="s">
        <v>102</v>
      </c>
      <c r="D62" t="s">
        <v>103</v>
      </c>
      <c r="E62" t="s">
        <v>4</v>
      </c>
      <c r="F62" s="28">
        <v>3.6499999999999998E-2</v>
      </c>
      <c r="G62" s="28">
        <v>210</v>
      </c>
      <c r="J62" t="str">
        <f t="shared" si="19"/>
        <v>HAZIRACONTAINERFOREIGNMooring</v>
      </c>
      <c r="K62" s="41" t="str">
        <f t="shared" si="20"/>
        <v>HAZIRA</v>
      </c>
      <c r="L62" s="41" t="str">
        <f t="shared" si="21"/>
        <v>CONTAINER</v>
      </c>
      <c r="M62" s="41" t="str">
        <f t="shared" si="22"/>
        <v>FOREIGN</v>
      </c>
      <c r="N62" s="41" t="str">
        <f t="shared" si="23"/>
        <v>Mooring</v>
      </c>
      <c r="O62">
        <f t="shared" si="18"/>
        <v>80000</v>
      </c>
      <c r="P62" s="40">
        <f>IFERROR(VLOOKUP(J62,'Tariff Master'!G:J,2,0),0)</f>
        <v>3.6499999999999998E-2</v>
      </c>
      <c r="Q62">
        <f t="shared" si="13"/>
        <v>1</v>
      </c>
      <c r="R62" s="45">
        <f t="shared" si="14"/>
        <v>2920</v>
      </c>
      <c r="S62">
        <f>IFERROR(VLOOKUP(J62,'Tariff Master'!G:J,3,0),0)</f>
        <v>210</v>
      </c>
      <c r="T62" t="str">
        <f>IFERROR(VLOOKUP(J62,'Tariff Master'!G:J,4,0),0)</f>
        <v>USD</v>
      </c>
      <c r="V62">
        <f t="shared" si="15"/>
        <v>83</v>
      </c>
      <c r="W62" s="46">
        <f t="shared" si="16"/>
        <v>2.4236000000000001E-2</v>
      </c>
    </row>
    <row r="63" spans="1:25">
      <c r="A63" t="s">
        <v>183</v>
      </c>
      <c r="B63" t="s">
        <v>88</v>
      </c>
      <c r="C63" t="s">
        <v>102</v>
      </c>
      <c r="D63" t="s">
        <v>103</v>
      </c>
      <c r="E63" t="s">
        <v>343</v>
      </c>
      <c r="F63" s="28">
        <v>0</v>
      </c>
      <c r="G63" s="28">
        <v>0</v>
      </c>
      <c r="J63" t="str">
        <f t="shared" si="19"/>
        <v>HAZIRACONTAINERFOREIGNPESP &amp; Dredging</v>
      </c>
      <c r="K63" s="41" t="str">
        <f t="shared" si="20"/>
        <v>HAZIRA</v>
      </c>
      <c r="L63" s="41" t="str">
        <f t="shared" si="21"/>
        <v>CONTAINER</v>
      </c>
      <c r="M63" s="41" t="str">
        <f t="shared" si="22"/>
        <v>FOREIGN</v>
      </c>
      <c r="N63" s="41" t="str">
        <f t="shared" si="23"/>
        <v>PESP &amp; Dredging</v>
      </c>
      <c r="O63">
        <f t="shared" si="18"/>
        <v>1</v>
      </c>
      <c r="P63" s="40">
        <f>IFERROR(VLOOKUP(J63,'Tariff Master'!G:J,2,0),0)</f>
        <v>0</v>
      </c>
      <c r="Q63">
        <f t="shared" si="13"/>
        <v>1</v>
      </c>
      <c r="R63" s="45">
        <f t="shared" si="14"/>
        <v>0</v>
      </c>
      <c r="S63">
        <f>IFERROR(VLOOKUP(J63,'Tariff Master'!G:J,3,0),0)</f>
        <v>0</v>
      </c>
      <c r="T63" t="str">
        <f>IFERROR(VLOOKUP(J63,'Tariff Master'!G:J,4,0),0)</f>
        <v>USD</v>
      </c>
      <c r="V63">
        <f t="shared" si="15"/>
        <v>83</v>
      </c>
      <c r="W63" s="46">
        <f t="shared" si="16"/>
        <v>0</v>
      </c>
    </row>
    <row r="64" spans="1:25">
      <c r="A64" t="s">
        <v>183</v>
      </c>
      <c r="B64" t="s">
        <v>88</v>
      </c>
      <c r="C64" t="s">
        <v>102</v>
      </c>
      <c r="D64" t="s">
        <v>103</v>
      </c>
      <c r="E64" t="s">
        <v>3</v>
      </c>
      <c r="F64" s="28">
        <v>0.98499999999999999</v>
      </c>
      <c r="G64" s="28">
        <v>9040</v>
      </c>
      <c r="J64" t="str">
        <f t="shared" si="19"/>
        <v>HAZIRACONTAINERFOREIGNPilotage</v>
      </c>
      <c r="K64" s="41" t="str">
        <f t="shared" si="20"/>
        <v>HAZIRA</v>
      </c>
      <c r="L64" s="41" t="str">
        <f t="shared" si="21"/>
        <v>CONTAINER</v>
      </c>
      <c r="M64" s="41" t="str">
        <f t="shared" si="22"/>
        <v>FOREIGN</v>
      </c>
      <c r="N64" s="41" t="str">
        <f t="shared" si="23"/>
        <v>Pilotage</v>
      </c>
      <c r="O64">
        <f t="shared" si="18"/>
        <v>80000</v>
      </c>
      <c r="P64" s="40">
        <f>IFERROR(VLOOKUP(J64,'Tariff Master'!G:J,2,0),0)</f>
        <v>0.98499999999999999</v>
      </c>
      <c r="Q64">
        <f t="shared" si="13"/>
        <v>1</v>
      </c>
      <c r="R64" s="45">
        <f t="shared" si="14"/>
        <v>78800</v>
      </c>
      <c r="S64">
        <f>IFERROR(VLOOKUP(J64,'Tariff Master'!G:J,3,0),0)</f>
        <v>9040</v>
      </c>
      <c r="T64" t="str">
        <f>IFERROR(VLOOKUP(J64,'Tariff Master'!G:J,4,0),0)</f>
        <v>USD</v>
      </c>
      <c r="V64">
        <f t="shared" si="15"/>
        <v>83</v>
      </c>
      <c r="W64" s="46">
        <f t="shared" si="16"/>
        <v>0.65403999999999995</v>
      </c>
    </row>
    <row r="65" spans="1:25">
      <c r="A65" t="s">
        <v>183</v>
      </c>
      <c r="B65" t="s">
        <v>88</v>
      </c>
      <c r="C65" t="s">
        <v>102</v>
      </c>
      <c r="D65" t="s">
        <v>103</v>
      </c>
      <c r="E65" t="s">
        <v>0</v>
      </c>
      <c r="F65" s="28">
        <v>0.06</v>
      </c>
      <c r="G65" s="28">
        <v>425</v>
      </c>
      <c r="J65" t="str">
        <f t="shared" si="19"/>
        <v>HAZIRACONTAINERFOREIGNPort Dues</v>
      </c>
      <c r="K65" s="41" t="str">
        <f t="shared" si="20"/>
        <v>HAZIRA</v>
      </c>
      <c r="L65" s="41" t="str">
        <f t="shared" si="21"/>
        <v>CONTAINER</v>
      </c>
      <c r="M65" s="41" t="str">
        <f t="shared" si="22"/>
        <v>FOREIGN</v>
      </c>
      <c r="N65" s="41" t="str">
        <f t="shared" si="23"/>
        <v>Port Dues</v>
      </c>
      <c r="O65">
        <f t="shared" si="18"/>
        <v>80000</v>
      </c>
      <c r="P65" s="40">
        <f>IFERROR(VLOOKUP(J65,'Tariff Master'!G:J,2,0),0)</f>
        <v>0.06</v>
      </c>
      <c r="Q65">
        <f t="shared" si="13"/>
        <v>1</v>
      </c>
      <c r="R65" s="45">
        <f t="shared" si="14"/>
        <v>4800</v>
      </c>
      <c r="S65">
        <f>IFERROR(VLOOKUP(J65,'Tariff Master'!G:J,3,0),0)</f>
        <v>425</v>
      </c>
      <c r="T65" t="str">
        <f>IFERROR(VLOOKUP(J65,'Tariff Master'!G:J,4,0),0)</f>
        <v>USD</v>
      </c>
      <c r="V65">
        <f t="shared" si="15"/>
        <v>83</v>
      </c>
      <c r="W65" s="46">
        <f t="shared" si="16"/>
        <v>3.984E-2</v>
      </c>
    </row>
    <row r="66" spans="1:25">
      <c r="A66" t="s">
        <v>183</v>
      </c>
      <c r="B66" t="s">
        <v>88</v>
      </c>
      <c r="C66" t="s">
        <v>355</v>
      </c>
      <c r="D66" t="s">
        <v>103</v>
      </c>
      <c r="E66" t="s">
        <v>7</v>
      </c>
      <c r="F66" s="28">
        <v>1.11E-2</v>
      </c>
      <c r="G66" s="28">
        <v>690</v>
      </c>
      <c r="J66" t="str">
        <f t="shared" si="19"/>
        <v>HAZIRADRY BULKFOREIGNBerth Hire</v>
      </c>
      <c r="K66" s="41" t="str">
        <f t="shared" si="20"/>
        <v>HAZIRA</v>
      </c>
      <c r="L66" s="41" t="str">
        <f t="shared" si="21"/>
        <v>DRY BULK</v>
      </c>
      <c r="M66" s="41" t="str">
        <f t="shared" si="22"/>
        <v>FOREIGN</v>
      </c>
      <c r="N66" s="41" t="str">
        <f t="shared" si="23"/>
        <v>Berth Hire</v>
      </c>
      <c r="O66">
        <f t="shared" si="18"/>
        <v>80000</v>
      </c>
      <c r="P66" s="40">
        <f>IFERROR(VLOOKUP(J66,'Tariff Master'!G:J,2,0),0)</f>
        <v>1.11E-2</v>
      </c>
      <c r="Q66">
        <f t="shared" si="13"/>
        <v>23</v>
      </c>
      <c r="R66" s="45">
        <f t="shared" si="14"/>
        <v>20424</v>
      </c>
      <c r="S66">
        <f>IFERROR(VLOOKUP(J66,'Tariff Master'!G:J,3,0),0)</f>
        <v>690</v>
      </c>
      <c r="T66" t="str">
        <f>IFERROR(VLOOKUP(J66,'Tariff Master'!G:J,4,0),0)</f>
        <v>USD</v>
      </c>
      <c r="V66">
        <f t="shared" si="15"/>
        <v>83</v>
      </c>
      <c r="W66" s="46">
        <f t="shared" si="16"/>
        <v>0.16951920000000001</v>
      </c>
    </row>
    <row r="67" spans="1:25">
      <c r="A67" t="s">
        <v>183</v>
      </c>
      <c r="B67" t="s">
        <v>88</v>
      </c>
      <c r="C67" t="s">
        <v>355</v>
      </c>
      <c r="D67" t="s">
        <v>103</v>
      </c>
      <c r="E67" t="s">
        <v>4</v>
      </c>
      <c r="F67" s="28">
        <v>3.6499999999999998E-2</v>
      </c>
      <c r="G67" s="28">
        <v>210</v>
      </c>
      <c r="J67" t="str">
        <f t="shared" si="19"/>
        <v>HAZIRADRY BULKFOREIGNMooring</v>
      </c>
      <c r="K67" s="41" t="str">
        <f t="shared" si="20"/>
        <v>HAZIRA</v>
      </c>
      <c r="L67" s="41" t="str">
        <f t="shared" si="21"/>
        <v>DRY BULK</v>
      </c>
      <c r="M67" s="41" t="str">
        <f t="shared" si="22"/>
        <v>FOREIGN</v>
      </c>
      <c r="N67" s="41" t="str">
        <f t="shared" si="23"/>
        <v>Mooring</v>
      </c>
      <c r="O67">
        <f t="shared" si="18"/>
        <v>80000</v>
      </c>
      <c r="P67" s="40">
        <f>IFERROR(VLOOKUP(J67,'Tariff Master'!G:J,2,0),0)</f>
        <v>3.6499999999999998E-2</v>
      </c>
      <c r="Q67">
        <f t="shared" si="13"/>
        <v>1</v>
      </c>
      <c r="R67" s="45">
        <f t="shared" si="14"/>
        <v>2920</v>
      </c>
      <c r="S67">
        <f>IFERROR(VLOOKUP(J67,'Tariff Master'!G:J,3,0),0)</f>
        <v>210</v>
      </c>
      <c r="T67" t="str">
        <f>IFERROR(VLOOKUP(J67,'Tariff Master'!G:J,4,0),0)</f>
        <v>USD</v>
      </c>
      <c r="V67">
        <f t="shared" si="15"/>
        <v>83</v>
      </c>
      <c r="W67" s="46">
        <f t="shared" si="16"/>
        <v>2.4236000000000001E-2</v>
      </c>
      <c r="Y67" s="49">
        <f>W67*10^7</f>
        <v>242360</v>
      </c>
    </row>
    <row r="68" spans="1:25">
      <c r="A68" t="s">
        <v>183</v>
      </c>
      <c r="B68" t="s">
        <v>88</v>
      </c>
      <c r="C68" t="s">
        <v>355</v>
      </c>
      <c r="D68" t="s">
        <v>103</v>
      </c>
      <c r="E68" t="s">
        <v>343</v>
      </c>
      <c r="F68" s="28">
        <v>600</v>
      </c>
      <c r="G68" s="28">
        <v>0</v>
      </c>
      <c r="J68" t="str">
        <f t="shared" si="19"/>
        <v>HAZIRADRY BULKFOREIGNPESP &amp; Dredging</v>
      </c>
      <c r="K68" s="41" t="str">
        <f t="shared" si="20"/>
        <v>HAZIRA</v>
      </c>
      <c r="L68" s="41" t="str">
        <f t="shared" si="21"/>
        <v>DRY BULK</v>
      </c>
      <c r="M68" s="41" t="str">
        <f t="shared" si="22"/>
        <v>FOREIGN</v>
      </c>
      <c r="N68" s="41" t="str">
        <f t="shared" si="23"/>
        <v>PESP &amp; Dredging</v>
      </c>
      <c r="O68">
        <f t="shared" si="18"/>
        <v>1</v>
      </c>
      <c r="P68" s="40">
        <f>IFERROR(VLOOKUP(J68,'Tariff Master'!G:J,2,0),0)</f>
        <v>800</v>
      </c>
      <c r="Q68">
        <f t="shared" si="13"/>
        <v>1</v>
      </c>
      <c r="R68" s="45">
        <f t="shared" si="14"/>
        <v>800</v>
      </c>
      <c r="S68">
        <f>IFERROR(VLOOKUP(J68,'Tariff Master'!G:J,3,0),0)</f>
        <v>0</v>
      </c>
      <c r="T68" t="str">
        <f>IFERROR(VLOOKUP(J68,'Tariff Master'!G:J,4,0),0)</f>
        <v>USD</v>
      </c>
      <c r="V68">
        <f t="shared" si="15"/>
        <v>83</v>
      </c>
      <c r="W68" s="46">
        <f t="shared" si="16"/>
        <v>6.6400000000000001E-3</v>
      </c>
      <c r="Y68" s="49">
        <f>W68*10^7</f>
        <v>66400</v>
      </c>
    </row>
    <row r="69" spans="1:25">
      <c r="A69" t="s">
        <v>183</v>
      </c>
      <c r="B69" t="s">
        <v>88</v>
      </c>
      <c r="C69" t="s">
        <v>355</v>
      </c>
      <c r="D69" t="s">
        <v>103</v>
      </c>
      <c r="E69" t="s">
        <v>3</v>
      </c>
      <c r="F69" s="28">
        <v>1.2210000000000001</v>
      </c>
      <c r="G69" s="28">
        <v>19600</v>
      </c>
      <c r="J69" t="str">
        <f t="shared" si="19"/>
        <v>HAZIRADRY BULKFOREIGNPilotage</v>
      </c>
      <c r="K69" s="41" t="str">
        <f t="shared" si="20"/>
        <v>HAZIRA</v>
      </c>
      <c r="L69" s="41" t="str">
        <f t="shared" si="21"/>
        <v>DRY BULK</v>
      </c>
      <c r="M69" s="41" t="str">
        <f t="shared" si="22"/>
        <v>FOREIGN</v>
      </c>
      <c r="N69" s="41" t="str">
        <f t="shared" si="23"/>
        <v>Pilotage</v>
      </c>
      <c r="O69">
        <f t="shared" si="18"/>
        <v>80000</v>
      </c>
      <c r="P69" s="40">
        <f>IFERROR(VLOOKUP(J69,'Tariff Master'!G:J,2,0),0)</f>
        <v>1.2210000000000001</v>
      </c>
      <c r="Q69">
        <f t="shared" si="13"/>
        <v>1</v>
      </c>
      <c r="R69" s="45">
        <f t="shared" si="14"/>
        <v>97680</v>
      </c>
      <c r="S69">
        <f>IFERROR(VLOOKUP(J69,'Tariff Master'!G:J,3,0),0)</f>
        <v>19600</v>
      </c>
      <c r="T69" t="str">
        <f>IFERROR(VLOOKUP(J69,'Tariff Master'!G:J,4,0),0)</f>
        <v>USD</v>
      </c>
      <c r="V69">
        <f t="shared" si="15"/>
        <v>83</v>
      </c>
      <c r="W69" s="46">
        <f t="shared" si="16"/>
        <v>0.81074400000000002</v>
      </c>
      <c r="Y69" s="49">
        <f>W69*10^7</f>
        <v>8107440</v>
      </c>
    </row>
    <row r="70" spans="1:25">
      <c r="A70" t="s">
        <v>183</v>
      </c>
      <c r="B70" t="s">
        <v>88</v>
      </c>
      <c r="C70" t="s">
        <v>355</v>
      </c>
      <c r="D70" t="s">
        <v>103</v>
      </c>
      <c r="E70" t="s">
        <v>0</v>
      </c>
      <c r="F70" s="28">
        <v>0.06</v>
      </c>
      <c r="G70" s="28">
        <v>425</v>
      </c>
      <c r="J70" t="str">
        <f t="shared" si="19"/>
        <v>HAZIRADRY BULKFOREIGNPort Dues</v>
      </c>
      <c r="K70" s="41" t="str">
        <f t="shared" si="20"/>
        <v>HAZIRA</v>
      </c>
      <c r="L70" s="41" t="str">
        <f t="shared" si="21"/>
        <v>DRY BULK</v>
      </c>
      <c r="M70" s="41" t="str">
        <f t="shared" si="22"/>
        <v>FOREIGN</v>
      </c>
      <c r="N70" s="41" t="str">
        <f t="shared" si="23"/>
        <v>Port Dues</v>
      </c>
      <c r="O70">
        <f t="shared" si="18"/>
        <v>80000</v>
      </c>
      <c r="P70" s="40">
        <f>IFERROR(VLOOKUP(J70,'Tariff Master'!G:J,2,0),0)</f>
        <v>0.06</v>
      </c>
      <c r="Q70">
        <f t="shared" si="13"/>
        <v>1</v>
      </c>
      <c r="R70" s="45">
        <f t="shared" si="14"/>
        <v>4800</v>
      </c>
      <c r="S70">
        <f>IFERROR(VLOOKUP(J70,'Tariff Master'!G:J,3,0),0)</f>
        <v>425</v>
      </c>
      <c r="T70" t="str">
        <f>IFERROR(VLOOKUP(J70,'Tariff Master'!G:J,4,0),0)</f>
        <v>USD</v>
      </c>
      <c r="V70">
        <f t="shared" si="15"/>
        <v>83</v>
      </c>
      <c r="W70" s="46">
        <f t="shared" si="16"/>
        <v>3.984E-2</v>
      </c>
      <c r="Y70" s="49">
        <f>W70*10^7</f>
        <v>398400</v>
      </c>
    </row>
    <row r="71" spans="1:25">
      <c r="A71" t="s">
        <v>183</v>
      </c>
      <c r="B71" t="s">
        <v>88</v>
      </c>
      <c r="C71" t="s">
        <v>140</v>
      </c>
      <c r="D71" t="s">
        <v>103</v>
      </c>
      <c r="E71" t="s">
        <v>7</v>
      </c>
      <c r="F71" s="28">
        <v>1.1599999999999999E-2</v>
      </c>
      <c r="G71" s="28">
        <v>690</v>
      </c>
      <c r="J71" t="str">
        <f t="shared" si="19"/>
        <v>HAZIRATANKERFOREIGNBerth Hire</v>
      </c>
      <c r="K71" s="41" t="str">
        <f t="shared" si="20"/>
        <v>HAZIRA</v>
      </c>
      <c r="L71" s="41" t="str">
        <f t="shared" si="21"/>
        <v>TANKER</v>
      </c>
      <c r="M71" s="41" t="str">
        <f t="shared" si="22"/>
        <v>FOREIGN</v>
      </c>
      <c r="N71" s="41" t="str">
        <f t="shared" si="23"/>
        <v>Berth Hire</v>
      </c>
      <c r="O71">
        <f t="shared" si="18"/>
        <v>80000</v>
      </c>
      <c r="P71" s="40">
        <f>IFERROR(VLOOKUP(J71,'Tariff Master'!G:J,2,0),0)</f>
        <v>1.3899999999999999E-2</v>
      </c>
      <c r="Q71">
        <f t="shared" si="13"/>
        <v>23</v>
      </c>
      <c r="R71" s="45">
        <f t="shared" si="14"/>
        <v>25576</v>
      </c>
      <c r="S71">
        <f>IFERROR(VLOOKUP(J71,'Tariff Master'!G:J,3,0),0)</f>
        <v>690</v>
      </c>
      <c r="T71" t="str">
        <f>IFERROR(VLOOKUP(J71,'Tariff Master'!G:J,4,0),0)</f>
        <v>USD</v>
      </c>
      <c r="V71">
        <f t="shared" si="15"/>
        <v>83</v>
      </c>
      <c r="W71" s="46">
        <f t="shared" si="16"/>
        <v>0.21228079999999999</v>
      </c>
    </row>
    <row r="72" spans="1:25">
      <c r="A72" t="s">
        <v>183</v>
      </c>
      <c r="B72" t="s">
        <v>88</v>
      </c>
      <c r="C72" t="s">
        <v>140</v>
      </c>
      <c r="D72" t="s">
        <v>103</v>
      </c>
      <c r="E72" t="s">
        <v>4</v>
      </c>
      <c r="F72" s="28">
        <v>3.6499999999999998E-2</v>
      </c>
      <c r="G72" s="28">
        <v>210</v>
      </c>
      <c r="J72" t="str">
        <f t="shared" si="19"/>
        <v>HAZIRATANKERFOREIGNMooring</v>
      </c>
      <c r="K72" s="41" t="str">
        <f t="shared" si="20"/>
        <v>HAZIRA</v>
      </c>
      <c r="L72" s="41" t="str">
        <f t="shared" si="21"/>
        <v>TANKER</v>
      </c>
      <c r="M72" s="41" t="str">
        <f t="shared" si="22"/>
        <v>FOREIGN</v>
      </c>
      <c r="N72" s="41" t="str">
        <f t="shared" si="23"/>
        <v>Mooring</v>
      </c>
      <c r="O72">
        <f t="shared" si="18"/>
        <v>80000</v>
      </c>
      <c r="P72" s="40">
        <f>IFERROR(VLOOKUP(J72,'Tariff Master'!G:J,2,0),0)</f>
        <v>3.6499999999999998E-2</v>
      </c>
      <c r="Q72">
        <f t="shared" si="13"/>
        <v>1</v>
      </c>
      <c r="R72" s="45">
        <f t="shared" si="14"/>
        <v>2920</v>
      </c>
      <c r="S72">
        <f>IFERROR(VLOOKUP(J72,'Tariff Master'!G:J,3,0),0)</f>
        <v>210</v>
      </c>
      <c r="T72" t="str">
        <f>IFERROR(VLOOKUP(J72,'Tariff Master'!G:J,4,0),0)</f>
        <v>USD</v>
      </c>
      <c r="V72">
        <f t="shared" si="15"/>
        <v>83</v>
      </c>
      <c r="W72" s="46">
        <f t="shared" si="16"/>
        <v>2.4236000000000001E-2</v>
      </c>
    </row>
    <row r="73" spans="1:25">
      <c r="A73" t="s">
        <v>183</v>
      </c>
      <c r="B73" t="s">
        <v>88</v>
      </c>
      <c r="C73" t="s">
        <v>140</v>
      </c>
      <c r="D73" t="s">
        <v>103</v>
      </c>
      <c r="E73" t="s">
        <v>343</v>
      </c>
      <c r="F73" s="28">
        <v>600</v>
      </c>
      <c r="G73" s="28">
        <v>0</v>
      </c>
      <c r="J73" t="str">
        <f t="shared" si="19"/>
        <v>HAZIRATANKERFOREIGNPESP &amp; Dredging</v>
      </c>
      <c r="K73" s="41" t="str">
        <f t="shared" si="20"/>
        <v>HAZIRA</v>
      </c>
      <c r="L73" s="41" t="str">
        <f t="shared" si="21"/>
        <v>TANKER</v>
      </c>
      <c r="M73" s="41" t="str">
        <f t="shared" si="22"/>
        <v>FOREIGN</v>
      </c>
      <c r="N73" s="41" t="str">
        <f t="shared" si="23"/>
        <v>PESP &amp; Dredging</v>
      </c>
      <c r="O73">
        <f t="shared" si="18"/>
        <v>1</v>
      </c>
      <c r="P73" s="40">
        <f>IFERROR(VLOOKUP(J73,'Tariff Master'!G:J,2,0),0)</f>
        <v>800</v>
      </c>
      <c r="Q73">
        <f t="shared" si="13"/>
        <v>1</v>
      </c>
      <c r="R73" s="45">
        <f t="shared" si="14"/>
        <v>800</v>
      </c>
      <c r="S73">
        <f>IFERROR(VLOOKUP(J73,'Tariff Master'!G:J,3,0),0)</f>
        <v>0</v>
      </c>
      <c r="T73" t="str">
        <f>IFERROR(VLOOKUP(J73,'Tariff Master'!G:J,4,0),0)</f>
        <v>USD</v>
      </c>
      <c r="V73">
        <f t="shared" si="15"/>
        <v>83</v>
      </c>
      <c r="W73" s="46">
        <f t="shared" si="16"/>
        <v>6.6400000000000001E-3</v>
      </c>
    </row>
    <row r="74" spans="1:25">
      <c r="A74" t="s">
        <v>183</v>
      </c>
      <c r="B74" t="s">
        <v>88</v>
      </c>
      <c r="C74" t="s">
        <v>140</v>
      </c>
      <c r="D74" t="s">
        <v>103</v>
      </c>
      <c r="E74" t="s">
        <v>3</v>
      </c>
      <c r="F74" s="28">
        <v>1.2210000000000001</v>
      </c>
      <c r="G74" s="28">
        <v>19600</v>
      </c>
      <c r="J74" t="str">
        <f t="shared" si="19"/>
        <v>HAZIRATANKERFOREIGNPilotage</v>
      </c>
      <c r="K74" s="41" t="str">
        <f t="shared" si="20"/>
        <v>HAZIRA</v>
      </c>
      <c r="L74" s="41" t="str">
        <f t="shared" si="21"/>
        <v>TANKER</v>
      </c>
      <c r="M74" s="41" t="str">
        <f t="shared" si="22"/>
        <v>FOREIGN</v>
      </c>
      <c r="N74" s="41" t="str">
        <f t="shared" si="23"/>
        <v>Pilotage</v>
      </c>
      <c r="O74">
        <f t="shared" si="18"/>
        <v>80000</v>
      </c>
      <c r="P74" s="40">
        <f>IFERROR(VLOOKUP(J74,'Tariff Master'!G:J,2,0),0)</f>
        <v>1.2210000000000001</v>
      </c>
      <c r="Q74">
        <f t="shared" si="13"/>
        <v>1</v>
      </c>
      <c r="R74" s="45">
        <f t="shared" si="14"/>
        <v>97680</v>
      </c>
      <c r="S74">
        <f>IFERROR(VLOOKUP(J74,'Tariff Master'!G:J,3,0),0)</f>
        <v>19600</v>
      </c>
      <c r="T74" t="str">
        <f>IFERROR(VLOOKUP(J74,'Tariff Master'!G:J,4,0),0)</f>
        <v>USD</v>
      </c>
      <c r="V74">
        <f t="shared" si="15"/>
        <v>83</v>
      </c>
      <c r="W74" s="46">
        <f t="shared" si="16"/>
        <v>0.81074400000000002</v>
      </c>
    </row>
    <row r="75" spans="1:25">
      <c r="A75" t="s">
        <v>183</v>
      </c>
      <c r="B75" t="s">
        <v>88</v>
      </c>
      <c r="C75" t="s">
        <v>140</v>
      </c>
      <c r="D75" t="s">
        <v>103</v>
      </c>
      <c r="E75" t="s">
        <v>0</v>
      </c>
      <c r="F75" s="28">
        <v>0.06</v>
      </c>
      <c r="G75" s="28">
        <v>425</v>
      </c>
      <c r="J75" t="str">
        <f t="shared" si="19"/>
        <v>HAZIRATANKERFOREIGNPort Dues</v>
      </c>
      <c r="K75" s="41" t="str">
        <f t="shared" si="20"/>
        <v>HAZIRA</v>
      </c>
      <c r="L75" s="41" t="str">
        <f t="shared" si="21"/>
        <v>TANKER</v>
      </c>
      <c r="M75" s="41" t="str">
        <f t="shared" si="22"/>
        <v>FOREIGN</v>
      </c>
      <c r="N75" s="41" t="str">
        <f t="shared" si="23"/>
        <v>Port Dues</v>
      </c>
      <c r="O75">
        <f t="shared" si="18"/>
        <v>80000</v>
      </c>
      <c r="P75" s="40">
        <f>IFERROR(VLOOKUP(J75,'Tariff Master'!G:J,2,0),0)</f>
        <v>0.06</v>
      </c>
      <c r="Q75">
        <f t="shared" si="13"/>
        <v>1</v>
      </c>
      <c r="R75" s="45">
        <f t="shared" si="14"/>
        <v>4800</v>
      </c>
      <c r="S75">
        <f>IFERROR(VLOOKUP(J75,'Tariff Master'!G:J,3,0),0)</f>
        <v>425</v>
      </c>
      <c r="T75" t="str">
        <f>IFERROR(VLOOKUP(J75,'Tariff Master'!G:J,4,0),0)</f>
        <v>USD</v>
      </c>
      <c r="V75">
        <f t="shared" si="15"/>
        <v>83</v>
      </c>
      <c r="W75" s="46">
        <f t="shared" si="16"/>
        <v>3.984E-2</v>
      </c>
    </row>
    <row r="76" spans="1:25">
      <c r="A76" t="s">
        <v>183</v>
      </c>
      <c r="B76" t="s">
        <v>88</v>
      </c>
      <c r="C76" t="s">
        <v>373</v>
      </c>
      <c r="D76" t="s">
        <v>103</v>
      </c>
      <c r="E76" t="s">
        <v>7</v>
      </c>
      <c r="F76" s="28">
        <v>1.11E-2</v>
      </c>
      <c r="G76" s="28">
        <v>690</v>
      </c>
      <c r="J76" t="str">
        <f t="shared" si="19"/>
        <v>HAZIRABREAK BULKFOREIGNBerth Hire</v>
      </c>
      <c r="K76" s="41" t="str">
        <f t="shared" si="20"/>
        <v>HAZIRA</v>
      </c>
      <c r="L76" s="41" t="str">
        <f t="shared" si="21"/>
        <v>BREAK BULK</v>
      </c>
      <c r="M76" s="41" t="str">
        <f t="shared" si="22"/>
        <v>FOREIGN</v>
      </c>
      <c r="N76" s="41" t="str">
        <f t="shared" si="23"/>
        <v>Berth Hire</v>
      </c>
      <c r="O76">
        <f t="shared" si="18"/>
        <v>80000</v>
      </c>
      <c r="P76" s="40">
        <f>IFERROR(VLOOKUP(J76,'Tariff Master'!G:J,2,0),0)</f>
        <v>1.11E-2</v>
      </c>
      <c r="Q76">
        <f t="shared" si="13"/>
        <v>23</v>
      </c>
      <c r="R76" s="45">
        <f t="shared" si="14"/>
        <v>20424</v>
      </c>
      <c r="S76">
        <f>IFERROR(VLOOKUP(J76,'Tariff Master'!G:J,3,0),0)</f>
        <v>690</v>
      </c>
      <c r="T76" t="str">
        <f>IFERROR(VLOOKUP(J76,'Tariff Master'!G:J,4,0),0)</f>
        <v>USD</v>
      </c>
      <c r="V76">
        <f t="shared" si="15"/>
        <v>83</v>
      </c>
      <c r="W76" s="46">
        <f t="shared" si="16"/>
        <v>0.16951920000000001</v>
      </c>
    </row>
    <row r="77" spans="1:25">
      <c r="A77" t="s">
        <v>183</v>
      </c>
      <c r="B77" t="s">
        <v>88</v>
      </c>
      <c r="C77" t="s">
        <v>373</v>
      </c>
      <c r="D77" t="s">
        <v>103</v>
      </c>
      <c r="E77" t="s">
        <v>4</v>
      </c>
      <c r="F77" s="28">
        <v>3.6499999999999998E-2</v>
      </c>
      <c r="G77" s="28">
        <v>210</v>
      </c>
      <c r="J77" t="str">
        <f t="shared" si="19"/>
        <v>HAZIRABREAK BULKFOREIGNMooring</v>
      </c>
      <c r="K77" s="41" t="str">
        <f t="shared" si="20"/>
        <v>HAZIRA</v>
      </c>
      <c r="L77" s="41" t="str">
        <f t="shared" si="21"/>
        <v>BREAK BULK</v>
      </c>
      <c r="M77" s="41" t="str">
        <f t="shared" si="22"/>
        <v>FOREIGN</v>
      </c>
      <c r="N77" s="41" t="str">
        <f t="shared" si="23"/>
        <v>Mooring</v>
      </c>
      <c r="O77">
        <f t="shared" si="18"/>
        <v>80000</v>
      </c>
      <c r="P77" s="40">
        <f>IFERROR(VLOOKUP(J77,'Tariff Master'!G:J,2,0),0)</f>
        <v>3.6499999999999998E-2</v>
      </c>
      <c r="Q77">
        <f t="shared" ref="Q77:Q108" si="24">IF(N77="Berth Hire",$X$2,1)</f>
        <v>1</v>
      </c>
      <c r="R77" s="45">
        <f t="shared" ref="R77:R108" si="25">MAX(O77*P77*IF(N77="Berth Hire",Q77,1),S77)</f>
        <v>2920</v>
      </c>
      <c r="S77">
        <f>IFERROR(VLOOKUP(J77,'Tariff Master'!G:J,3,0),0)</f>
        <v>210</v>
      </c>
      <c r="T77" t="str">
        <f>IFERROR(VLOOKUP(J77,'Tariff Master'!G:J,4,0),0)</f>
        <v>USD</v>
      </c>
      <c r="V77">
        <f t="shared" ref="V77:V108" si="26">$X$3</f>
        <v>83</v>
      </c>
      <c r="W77" s="46">
        <f t="shared" ref="W77:W108" si="27">R77*IF(T77="USD",V77,1)/10^7</f>
        <v>2.4236000000000001E-2</v>
      </c>
    </row>
    <row r="78" spans="1:25">
      <c r="A78" t="s">
        <v>183</v>
      </c>
      <c r="B78" t="s">
        <v>88</v>
      </c>
      <c r="C78" t="s">
        <v>373</v>
      </c>
      <c r="D78" t="s">
        <v>103</v>
      </c>
      <c r="E78" t="s">
        <v>343</v>
      </c>
      <c r="F78" s="28">
        <v>600</v>
      </c>
      <c r="G78" s="28">
        <v>0</v>
      </c>
      <c r="J78" t="str">
        <f t="shared" si="19"/>
        <v>HAZIRABREAK BULKFOREIGNPESP &amp; Dredging</v>
      </c>
      <c r="K78" s="41" t="str">
        <f t="shared" si="20"/>
        <v>HAZIRA</v>
      </c>
      <c r="L78" s="41" t="str">
        <f t="shared" si="21"/>
        <v>BREAK BULK</v>
      </c>
      <c r="M78" s="41" t="str">
        <f t="shared" si="22"/>
        <v>FOREIGN</v>
      </c>
      <c r="N78" s="41" t="str">
        <f t="shared" si="23"/>
        <v>PESP &amp; Dredging</v>
      </c>
      <c r="O78">
        <f t="shared" si="18"/>
        <v>1</v>
      </c>
      <c r="P78" s="40">
        <f>IFERROR(VLOOKUP(J78,'Tariff Master'!G:J,2,0),0)</f>
        <v>800</v>
      </c>
      <c r="Q78">
        <f t="shared" si="24"/>
        <v>1</v>
      </c>
      <c r="R78" s="45">
        <f t="shared" si="25"/>
        <v>800</v>
      </c>
      <c r="S78">
        <f>IFERROR(VLOOKUP(J78,'Tariff Master'!G:J,3,0),0)</f>
        <v>0</v>
      </c>
      <c r="T78" t="str">
        <f>IFERROR(VLOOKUP(J78,'Tariff Master'!G:J,4,0),0)</f>
        <v>USD</v>
      </c>
      <c r="V78">
        <f t="shared" si="26"/>
        <v>83</v>
      </c>
      <c r="W78" s="46">
        <f t="shared" si="27"/>
        <v>6.6400000000000001E-3</v>
      </c>
    </row>
    <row r="79" spans="1:25">
      <c r="A79" t="s">
        <v>183</v>
      </c>
      <c r="B79" t="s">
        <v>88</v>
      </c>
      <c r="C79" t="s">
        <v>373</v>
      </c>
      <c r="D79" t="s">
        <v>103</v>
      </c>
      <c r="E79" t="s">
        <v>3</v>
      </c>
      <c r="F79" s="28">
        <v>1.2210000000000001</v>
      </c>
      <c r="G79" s="28">
        <v>19600</v>
      </c>
      <c r="J79" t="str">
        <f t="shared" si="19"/>
        <v>HAZIRABREAK BULKFOREIGNPilotage</v>
      </c>
      <c r="K79" s="41" t="str">
        <f t="shared" si="20"/>
        <v>HAZIRA</v>
      </c>
      <c r="L79" s="41" t="str">
        <f t="shared" si="21"/>
        <v>BREAK BULK</v>
      </c>
      <c r="M79" s="41" t="str">
        <f t="shared" si="22"/>
        <v>FOREIGN</v>
      </c>
      <c r="N79" s="41" t="str">
        <f t="shared" si="23"/>
        <v>Pilotage</v>
      </c>
      <c r="O79">
        <f t="shared" si="18"/>
        <v>80000</v>
      </c>
      <c r="P79" s="40">
        <f>IFERROR(VLOOKUP(J79,'Tariff Master'!G:J,2,0),0)</f>
        <v>1.2210000000000001</v>
      </c>
      <c r="Q79">
        <f t="shared" si="24"/>
        <v>1</v>
      </c>
      <c r="R79" s="45">
        <f t="shared" si="25"/>
        <v>97680</v>
      </c>
      <c r="S79">
        <f>IFERROR(VLOOKUP(J79,'Tariff Master'!G:J,3,0),0)</f>
        <v>19600</v>
      </c>
      <c r="T79" t="str">
        <f>IFERROR(VLOOKUP(J79,'Tariff Master'!G:J,4,0),0)</f>
        <v>USD</v>
      </c>
      <c r="V79">
        <f t="shared" si="26"/>
        <v>83</v>
      </c>
      <c r="W79" s="46">
        <f t="shared" si="27"/>
        <v>0.81074400000000002</v>
      </c>
    </row>
    <row r="80" spans="1:25">
      <c r="A80" t="s">
        <v>183</v>
      </c>
      <c r="B80" t="s">
        <v>88</v>
      </c>
      <c r="C80" t="s">
        <v>373</v>
      </c>
      <c r="D80" t="s">
        <v>103</v>
      </c>
      <c r="E80" t="s">
        <v>0</v>
      </c>
      <c r="F80" s="28">
        <v>0.06</v>
      </c>
      <c r="G80" s="28">
        <v>425</v>
      </c>
      <c r="J80" t="str">
        <f t="shared" si="19"/>
        <v>HAZIRABREAK BULKFOREIGNPort Dues</v>
      </c>
      <c r="K80" s="41" t="str">
        <f t="shared" si="20"/>
        <v>HAZIRA</v>
      </c>
      <c r="L80" s="41" t="str">
        <f t="shared" si="21"/>
        <v>BREAK BULK</v>
      </c>
      <c r="M80" s="41" t="str">
        <f t="shared" si="22"/>
        <v>FOREIGN</v>
      </c>
      <c r="N80" s="41" t="str">
        <f t="shared" si="23"/>
        <v>Port Dues</v>
      </c>
      <c r="O80">
        <f t="shared" ref="O80:O111" si="28">IF(N80="PESP &amp; Dredging",1,$X$1)</f>
        <v>80000</v>
      </c>
      <c r="P80" s="40">
        <f>IFERROR(VLOOKUP(J80,'Tariff Master'!G:J,2,0),0)</f>
        <v>0.06</v>
      </c>
      <c r="Q80">
        <f t="shared" si="24"/>
        <v>1</v>
      </c>
      <c r="R80" s="45">
        <f t="shared" si="25"/>
        <v>4800</v>
      </c>
      <c r="S80">
        <f>IFERROR(VLOOKUP(J80,'Tariff Master'!G:J,3,0),0)</f>
        <v>425</v>
      </c>
      <c r="T80" t="str">
        <f>IFERROR(VLOOKUP(J80,'Tariff Master'!G:J,4,0),0)</f>
        <v>USD</v>
      </c>
      <c r="V80">
        <f t="shared" si="26"/>
        <v>83</v>
      </c>
      <c r="W80" s="46">
        <f t="shared" si="27"/>
        <v>3.984E-2</v>
      </c>
    </row>
    <row r="81" spans="1:25">
      <c r="A81" t="s">
        <v>183</v>
      </c>
      <c r="B81" t="s">
        <v>354</v>
      </c>
      <c r="C81" t="s">
        <v>355</v>
      </c>
      <c r="D81" t="s">
        <v>103</v>
      </c>
      <c r="E81" t="s">
        <v>7</v>
      </c>
      <c r="F81" s="28">
        <v>1.5990000000000001E-2</v>
      </c>
      <c r="G81" s="28">
        <v>400</v>
      </c>
      <c r="J81" t="str">
        <f t="shared" si="19"/>
        <v>KARAIKALDRY BULKFOREIGNBerth Hire</v>
      </c>
      <c r="K81" s="41" t="str">
        <f t="shared" si="20"/>
        <v>KARAIKAL</v>
      </c>
      <c r="L81" s="41" t="str">
        <f t="shared" si="21"/>
        <v>DRY BULK</v>
      </c>
      <c r="M81" s="41" t="str">
        <f t="shared" si="22"/>
        <v>FOREIGN</v>
      </c>
      <c r="N81" s="41" t="str">
        <f t="shared" si="23"/>
        <v>Berth Hire</v>
      </c>
      <c r="O81">
        <f t="shared" si="28"/>
        <v>80000</v>
      </c>
      <c r="P81" s="40">
        <f>IFERROR(VLOOKUP(J81,'Tariff Master'!G:J,2,0),0)</f>
        <v>1.5990000000000001E-2</v>
      </c>
      <c r="Q81">
        <f t="shared" si="24"/>
        <v>23</v>
      </c>
      <c r="R81" s="45">
        <f t="shared" si="25"/>
        <v>29421.600000000002</v>
      </c>
      <c r="S81">
        <f>IFERROR(VLOOKUP(J81,'Tariff Master'!G:J,3,0),0)</f>
        <v>400</v>
      </c>
      <c r="T81" t="str">
        <f>IFERROR(VLOOKUP(J81,'Tariff Master'!G:J,4,0),0)</f>
        <v>USD</v>
      </c>
      <c r="V81">
        <f t="shared" si="26"/>
        <v>83</v>
      </c>
      <c r="W81" s="46">
        <f t="shared" si="27"/>
        <v>0.24419928000000002</v>
      </c>
    </row>
    <row r="82" spans="1:25">
      <c r="A82" t="s">
        <v>183</v>
      </c>
      <c r="B82" t="s">
        <v>354</v>
      </c>
      <c r="C82" t="s">
        <v>355</v>
      </c>
      <c r="D82" t="s">
        <v>103</v>
      </c>
      <c r="E82" t="s">
        <v>4</v>
      </c>
      <c r="F82" s="28">
        <v>3.4720000000000001E-2</v>
      </c>
      <c r="G82" s="28">
        <v>200</v>
      </c>
      <c r="J82" t="str">
        <f t="shared" si="19"/>
        <v>KARAIKALDRY BULKFOREIGNMooring</v>
      </c>
      <c r="K82" s="41" t="str">
        <f t="shared" si="20"/>
        <v>KARAIKAL</v>
      </c>
      <c r="L82" s="41" t="str">
        <f t="shared" si="21"/>
        <v>DRY BULK</v>
      </c>
      <c r="M82" s="41" t="str">
        <f t="shared" si="22"/>
        <v>FOREIGN</v>
      </c>
      <c r="N82" s="41" t="str">
        <f t="shared" si="23"/>
        <v>Mooring</v>
      </c>
      <c r="O82">
        <f t="shared" si="28"/>
        <v>80000</v>
      </c>
      <c r="P82" s="40">
        <f>IFERROR(VLOOKUP(J82,'Tariff Master'!G:J,2,0),0)</f>
        <v>3.4720000000000001E-2</v>
      </c>
      <c r="Q82">
        <f t="shared" si="24"/>
        <v>1</v>
      </c>
      <c r="R82" s="45">
        <f t="shared" si="25"/>
        <v>2777.6</v>
      </c>
      <c r="S82">
        <f>IFERROR(VLOOKUP(J82,'Tariff Master'!G:J,3,0),0)</f>
        <v>200</v>
      </c>
      <c r="T82" t="str">
        <f>IFERROR(VLOOKUP(J82,'Tariff Master'!G:J,4,0),0)</f>
        <v>USD</v>
      </c>
      <c r="V82">
        <f t="shared" si="26"/>
        <v>83</v>
      </c>
      <c r="W82" s="46">
        <f t="shared" si="27"/>
        <v>2.3054079999999998E-2</v>
      </c>
    </row>
    <row r="83" spans="1:25">
      <c r="A83" t="s">
        <v>183</v>
      </c>
      <c r="B83" t="s">
        <v>354</v>
      </c>
      <c r="C83" t="s">
        <v>355</v>
      </c>
      <c r="D83" t="s">
        <v>103</v>
      </c>
      <c r="E83" t="s">
        <v>343</v>
      </c>
      <c r="F83" s="28">
        <v>600</v>
      </c>
      <c r="G83" s="28">
        <v>0</v>
      </c>
      <c r="J83" t="str">
        <f t="shared" si="19"/>
        <v>KARAIKALDRY BULKFOREIGNPESP &amp; Dredging</v>
      </c>
      <c r="K83" s="41" t="str">
        <f t="shared" si="20"/>
        <v>KARAIKAL</v>
      </c>
      <c r="L83" s="41" t="str">
        <f t="shared" si="21"/>
        <v>DRY BULK</v>
      </c>
      <c r="M83" s="41" t="str">
        <f t="shared" si="22"/>
        <v>FOREIGN</v>
      </c>
      <c r="N83" s="41" t="str">
        <f t="shared" si="23"/>
        <v>PESP &amp; Dredging</v>
      </c>
      <c r="O83">
        <f t="shared" si="28"/>
        <v>1</v>
      </c>
      <c r="P83" s="40">
        <f>IFERROR(VLOOKUP(J83,'Tariff Master'!G:J,2,0),0)</f>
        <v>800</v>
      </c>
      <c r="Q83">
        <f t="shared" si="24"/>
        <v>1</v>
      </c>
      <c r="R83" s="45">
        <f t="shared" si="25"/>
        <v>800</v>
      </c>
      <c r="S83">
        <f>IFERROR(VLOOKUP(J83,'Tariff Master'!G:J,3,0),0)</f>
        <v>0</v>
      </c>
      <c r="T83" t="str">
        <f>IFERROR(VLOOKUP(J83,'Tariff Master'!G:J,4,0),0)</f>
        <v>USD</v>
      </c>
      <c r="V83">
        <f t="shared" si="26"/>
        <v>83</v>
      </c>
      <c r="W83" s="46">
        <f t="shared" si="27"/>
        <v>6.6400000000000001E-3</v>
      </c>
    </row>
    <row r="84" spans="1:25">
      <c r="A84" t="s">
        <v>183</v>
      </c>
      <c r="B84" t="s">
        <v>354</v>
      </c>
      <c r="C84" t="s">
        <v>355</v>
      </c>
      <c r="D84" t="s">
        <v>103</v>
      </c>
      <c r="E84" t="s">
        <v>3</v>
      </c>
      <c r="F84" s="28">
        <v>1.1880999999999999</v>
      </c>
      <c r="G84" s="28">
        <v>18000</v>
      </c>
      <c r="J84" t="str">
        <f t="shared" si="19"/>
        <v>KARAIKALDRY BULKFOREIGNPilotage</v>
      </c>
      <c r="K84" s="41" t="str">
        <f t="shared" si="20"/>
        <v>KARAIKAL</v>
      </c>
      <c r="L84" s="41" t="str">
        <f t="shared" si="21"/>
        <v>DRY BULK</v>
      </c>
      <c r="M84" s="41" t="str">
        <f t="shared" si="22"/>
        <v>FOREIGN</v>
      </c>
      <c r="N84" s="41" t="str">
        <f t="shared" si="23"/>
        <v>Pilotage</v>
      </c>
      <c r="O84">
        <f t="shared" si="28"/>
        <v>80000</v>
      </c>
      <c r="P84" s="40">
        <f>IFERROR(VLOOKUP(J84,'Tariff Master'!G:J,2,0),0)</f>
        <v>1.1880999999999999</v>
      </c>
      <c r="Q84">
        <f t="shared" si="24"/>
        <v>1</v>
      </c>
      <c r="R84" s="45">
        <f t="shared" si="25"/>
        <v>95048</v>
      </c>
      <c r="S84">
        <f>IFERROR(VLOOKUP(J84,'Tariff Master'!G:J,3,0),0)</f>
        <v>18000</v>
      </c>
      <c r="T84" t="str">
        <f>IFERROR(VLOOKUP(J84,'Tariff Master'!G:J,4,0),0)</f>
        <v>USD</v>
      </c>
      <c r="V84">
        <f t="shared" si="26"/>
        <v>83</v>
      </c>
      <c r="W84" s="46">
        <f t="shared" si="27"/>
        <v>0.7888984</v>
      </c>
    </row>
    <row r="85" spans="1:25">
      <c r="A85" t="s">
        <v>183</v>
      </c>
      <c r="B85" t="s">
        <v>354</v>
      </c>
      <c r="C85" t="s">
        <v>355</v>
      </c>
      <c r="D85" t="s">
        <v>103</v>
      </c>
      <c r="E85" t="s">
        <v>0</v>
      </c>
      <c r="F85" s="28">
        <v>0.49</v>
      </c>
      <c r="G85" s="28">
        <v>0</v>
      </c>
      <c r="J85" t="str">
        <f t="shared" si="19"/>
        <v>KARAIKALDRY BULKFOREIGNPort Dues</v>
      </c>
      <c r="K85" s="41" t="str">
        <f t="shared" si="20"/>
        <v>KARAIKAL</v>
      </c>
      <c r="L85" s="41" t="str">
        <f t="shared" si="21"/>
        <v>DRY BULK</v>
      </c>
      <c r="M85" s="41" t="str">
        <f t="shared" si="22"/>
        <v>FOREIGN</v>
      </c>
      <c r="N85" s="41" t="str">
        <f t="shared" si="23"/>
        <v>Port Dues</v>
      </c>
      <c r="O85">
        <f t="shared" si="28"/>
        <v>80000</v>
      </c>
      <c r="P85" s="40">
        <f>IFERROR(VLOOKUP(J85,'Tariff Master'!G:J,2,0),0)</f>
        <v>0.49</v>
      </c>
      <c r="Q85">
        <f t="shared" si="24"/>
        <v>1</v>
      </c>
      <c r="R85" s="45">
        <f t="shared" si="25"/>
        <v>39200</v>
      </c>
      <c r="S85">
        <f>IFERROR(VLOOKUP(J85,'Tariff Master'!G:J,3,0),0)</f>
        <v>0</v>
      </c>
      <c r="T85" t="str">
        <f>IFERROR(VLOOKUP(J85,'Tariff Master'!G:J,4,0),0)</f>
        <v>USD</v>
      </c>
      <c r="V85">
        <f t="shared" si="26"/>
        <v>83</v>
      </c>
      <c r="W85" s="46">
        <f t="shared" si="27"/>
        <v>0.32535999999999998</v>
      </c>
    </row>
    <row r="86" spans="1:25">
      <c r="A86" t="s">
        <v>183</v>
      </c>
      <c r="B86" t="s">
        <v>354</v>
      </c>
      <c r="C86" t="s">
        <v>140</v>
      </c>
      <c r="D86" t="s">
        <v>103</v>
      </c>
      <c r="E86" t="s">
        <v>7</v>
      </c>
      <c r="F86" s="28">
        <v>1.5990000000000001E-2</v>
      </c>
      <c r="G86" s="28">
        <v>400</v>
      </c>
      <c r="J86" t="str">
        <f t="shared" si="19"/>
        <v>KARAIKALTANKERFOREIGNBerth Hire</v>
      </c>
      <c r="K86" s="41" t="str">
        <f t="shared" si="20"/>
        <v>KARAIKAL</v>
      </c>
      <c r="L86" s="41" t="str">
        <f t="shared" si="21"/>
        <v>TANKER</v>
      </c>
      <c r="M86" s="41" t="str">
        <f t="shared" si="22"/>
        <v>FOREIGN</v>
      </c>
      <c r="N86" s="41" t="str">
        <f t="shared" si="23"/>
        <v>Berth Hire</v>
      </c>
      <c r="O86">
        <f t="shared" si="28"/>
        <v>80000</v>
      </c>
      <c r="P86" s="40">
        <f>IFERROR(VLOOKUP(J86,'Tariff Master'!G:J,2,0),0)</f>
        <v>1.5990000000000001E-2</v>
      </c>
      <c r="Q86">
        <f t="shared" si="24"/>
        <v>23</v>
      </c>
      <c r="R86" s="45">
        <f t="shared" si="25"/>
        <v>29421.600000000002</v>
      </c>
      <c r="S86">
        <f>IFERROR(VLOOKUP(J86,'Tariff Master'!G:J,3,0),0)</f>
        <v>400</v>
      </c>
      <c r="T86" t="str">
        <f>IFERROR(VLOOKUP(J86,'Tariff Master'!G:J,4,0),0)</f>
        <v>USD</v>
      </c>
      <c r="V86">
        <f t="shared" si="26"/>
        <v>83</v>
      </c>
      <c r="W86" s="46">
        <f t="shared" si="27"/>
        <v>0.24419928000000002</v>
      </c>
      <c r="Y86" s="49">
        <f>W86*10^7</f>
        <v>2441992.8000000003</v>
      </c>
    </row>
    <row r="87" spans="1:25">
      <c r="A87" t="s">
        <v>183</v>
      </c>
      <c r="B87" t="s">
        <v>354</v>
      </c>
      <c r="C87" t="s">
        <v>140</v>
      </c>
      <c r="D87" t="s">
        <v>103</v>
      </c>
      <c r="E87" t="s">
        <v>4</v>
      </c>
      <c r="F87" s="28">
        <v>3.4720000000000001E-2</v>
      </c>
      <c r="G87" s="28">
        <v>200</v>
      </c>
      <c r="J87" t="str">
        <f t="shared" si="19"/>
        <v>KARAIKALTANKERFOREIGNMooring</v>
      </c>
      <c r="K87" s="41" t="str">
        <f t="shared" si="20"/>
        <v>KARAIKAL</v>
      </c>
      <c r="L87" s="41" t="str">
        <f t="shared" si="21"/>
        <v>TANKER</v>
      </c>
      <c r="M87" s="41" t="str">
        <f t="shared" si="22"/>
        <v>FOREIGN</v>
      </c>
      <c r="N87" s="41" t="str">
        <f t="shared" si="23"/>
        <v>Mooring</v>
      </c>
      <c r="O87">
        <f t="shared" si="28"/>
        <v>80000</v>
      </c>
      <c r="P87" s="40">
        <f>IFERROR(VLOOKUP(J87,'Tariff Master'!G:J,2,0),0)</f>
        <v>3.4720000000000001E-2</v>
      </c>
      <c r="Q87">
        <f t="shared" si="24"/>
        <v>1</v>
      </c>
      <c r="R87" s="45">
        <f t="shared" si="25"/>
        <v>2777.6</v>
      </c>
      <c r="S87">
        <f>IFERROR(VLOOKUP(J87,'Tariff Master'!G:J,3,0),0)</f>
        <v>200</v>
      </c>
      <c r="T87" t="str">
        <f>IFERROR(VLOOKUP(J87,'Tariff Master'!G:J,4,0),0)</f>
        <v>USD</v>
      </c>
      <c r="V87">
        <f t="shared" si="26"/>
        <v>83</v>
      </c>
      <c r="W87" s="46">
        <f t="shared" si="27"/>
        <v>2.3054079999999998E-2</v>
      </c>
      <c r="Y87" s="49">
        <f>W87*10^7</f>
        <v>230540.79999999999</v>
      </c>
    </row>
    <row r="88" spans="1:25">
      <c r="A88" t="s">
        <v>183</v>
      </c>
      <c r="B88" t="s">
        <v>354</v>
      </c>
      <c r="C88" t="s">
        <v>140</v>
      </c>
      <c r="D88" t="s">
        <v>103</v>
      </c>
      <c r="E88" t="s">
        <v>343</v>
      </c>
      <c r="F88" s="28">
        <v>600</v>
      </c>
      <c r="G88" s="28">
        <v>0</v>
      </c>
      <c r="J88" t="str">
        <f t="shared" si="19"/>
        <v>KARAIKALTANKERFOREIGNPESP &amp; Dredging</v>
      </c>
      <c r="K88" s="41" t="str">
        <f t="shared" si="20"/>
        <v>KARAIKAL</v>
      </c>
      <c r="L88" s="41" t="str">
        <f t="shared" si="21"/>
        <v>TANKER</v>
      </c>
      <c r="M88" s="41" t="str">
        <f t="shared" si="22"/>
        <v>FOREIGN</v>
      </c>
      <c r="N88" s="41" t="str">
        <f t="shared" si="23"/>
        <v>PESP &amp; Dredging</v>
      </c>
      <c r="O88">
        <f t="shared" si="28"/>
        <v>1</v>
      </c>
      <c r="P88" s="40">
        <f>IFERROR(VLOOKUP(J88,'Tariff Master'!G:J,2,0),0)</f>
        <v>800</v>
      </c>
      <c r="Q88">
        <f t="shared" si="24"/>
        <v>1</v>
      </c>
      <c r="R88" s="45">
        <f t="shared" si="25"/>
        <v>800</v>
      </c>
      <c r="S88">
        <f>IFERROR(VLOOKUP(J88,'Tariff Master'!G:J,3,0),0)</f>
        <v>0</v>
      </c>
      <c r="T88" t="str">
        <f>IFERROR(VLOOKUP(J88,'Tariff Master'!G:J,4,0),0)</f>
        <v>USD</v>
      </c>
      <c r="V88">
        <f t="shared" si="26"/>
        <v>83</v>
      </c>
      <c r="W88" s="46">
        <f t="shared" si="27"/>
        <v>6.6400000000000001E-3</v>
      </c>
      <c r="Y88" s="49">
        <f>W88*10^7</f>
        <v>66400</v>
      </c>
    </row>
    <row r="89" spans="1:25">
      <c r="A89" t="s">
        <v>183</v>
      </c>
      <c r="B89" t="s">
        <v>354</v>
      </c>
      <c r="C89" t="s">
        <v>140</v>
      </c>
      <c r="D89" t="s">
        <v>103</v>
      </c>
      <c r="E89" t="s">
        <v>3</v>
      </c>
      <c r="F89" s="28">
        <v>1.1880999999999999</v>
      </c>
      <c r="G89" s="28">
        <v>18000</v>
      </c>
      <c r="J89" t="str">
        <f t="shared" si="19"/>
        <v>KARAIKALTANKERFOREIGNPilotage</v>
      </c>
      <c r="K89" s="41" t="str">
        <f t="shared" si="20"/>
        <v>KARAIKAL</v>
      </c>
      <c r="L89" s="41" t="str">
        <f t="shared" si="21"/>
        <v>TANKER</v>
      </c>
      <c r="M89" s="41" t="str">
        <f t="shared" si="22"/>
        <v>FOREIGN</v>
      </c>
      <c r="N89" s="41" t="str">
        <f t="shared" si="23"/>
        <v>Pilotage</v>
      </c>
      <c r="O89">
        <f t="shared" si="28"/>
        <v>80000</v>
      </c>
      <c r="P89" s="40">
        <f>IFERROR(VLOOKUP(J89,'Tariff Master'!G:J,2,0),0)</f>
        <v>1.1880999999999999</v>
      </c>
      <c r="Q89">
        <f t="shared" si="24"/>
        <v>1</v>
      </c>
      <c r="R89" s="45">
        <f t="shared" si="25"/>
        <v>95048</v>
      </c>
      <c r="S89">
        <f>IFERROR(VLOOKUP(J89,'Tariff Master'!G:J,3,0),0)</f>
        <v>18000</v>
      </c>
      <c r="T89" t="str">
        <f>IFERROR(VLOOKUP(J89,'Tariff Master'!G:J,4,0),0)</f>
        <v>USD</v>
      </c>
      <c r="V89">
        <f t="shared" si="26"/>
        <v>83</v>
      </c>
      <c r="W89" s="46">
        <f t="shared" si="27"/>
        <v>0.7888984</v>
      </c>
      <c r="Y89" s="49">
        <f>W89*10^7</f>
        <v>7888984</v>
      </c>
    </row>
    <row r="90" spans="1:25">
      <c r="A90" t="s">
        <v>183</v>
      </c>
      <c r="B90" t="s">
        <v>354</v>
      </c>
      <c r="C90" t="s">
        <v>140</v>
      </c>
      <c r="D90" t="s">
        <v>103</v>
      </c>
      <c r="E90" t="s">
        <v>0</v>
      </c>
      <c r="F90" s="28">
        <v>0.49</v>
      </c>
      <c r="G90" s="28">
        <v>0</v>
      </c>
      <c r="J90" t="str">
        <f t="shared" si="19"/>
        <v>KARAIKALTANKERFOREIGNPort Dues</v>
      </c>
      <c r="K90" s="41" t="str">
        <f t="shared" si="20"/>
        <v>KARAIKAL</v>
      </c>
      <c r="L90" s="41" t="str">
        <f t="shared" si="21"/>
        <v>TANKER</v>
      </c>
      <c r="M90" s="41" t="str">
        <f t="shared" si="22"/>
        <v>FOREIGN</v>
      </c>
      <c r="N90" s="41" t="str">
        <f t="shared" si="23"/>
        <v>Port Dues</v>
      </c>
      <c r="O90">
        <f t="shared" si="28"/>
        <v>80000</v>
      </c>
      <c r="P90" s="40">
        <f>IFERROR(VLOOKUP(J90,'Tariff Master'!G:J,2,0),0)</f>
        <v>0.49</v>
      </c>
      <c r="Q90">
        <f t="shared" si="24"/>
        <v>1</v>
      </c>
      <c r="R90" s="45">
        <f t="shared" si="25"/>
        <v>39200</v>
      </c>
      <c r="S90">
        <f>IFERROR(VLOOKUP(J90,'Tariff Master'!G:J,3,0),0)</f>
        <v>0</v>
      </c>
      <c r="T90" t="str">
        <f>IFERROR(VLOOKUP(J90,'Tariff Master'!G:J,4,0),0)</f>
        <v>USD</v>
      </c>
      <c r="V90">
        <f t="shared" si="26"/>
        <v>83</v>
      </c>
      <c r="W90" s="46">
        <f t="shared" si="27"/>
        <v>0.32535999999999998</v>
      </c>
      <c r="Y90" s="49">
        <f>W90*10^7</f>
        <v>3253600</v>
      </c>
    </row>
    <row r="91" spans="1:25">
      <c r="A91" t="s">
        <v>183</v>
      </c>
      <c r="B91" t="s">
        <v>354</v>
      </c>
      <c r="C91" t="s">
        <v>373</v>
      </c>
      <c r="D91" t="s">
        <v>103</v>
      </c>
      <c r="E91" t="s">
        <v>7</v>
      </c>
      <c r="F91" s="28">
        <v>1.5990000000000001E-2</v>
      </c>
      <c r="G91" s="28">
        <v>400</v>
      </c>
      <c r="J91" t="str">
        <f t="shared" si="19"/>
        <v>KARAIKALBREAK BULKFOREIGNBerth Hire</v>
      </c>
      <c r="K91" s="41" t="str">
        <f t="shared" si="20"/>
        <v>KARAIKAL</v>
      </c>
      <c r="L91" s="41" t="str">
        <f t="shared" si="21"/>
        <v>BREAK BULK</v>
      </c>
      <c r="M91" s="41" t="str">
        <f t="shared" si="22"/>
        <v>FOREIGN</v>
      </c>
      <c r="N91" s="41" t="str">
        <f t="shared" si="23"/>
        <v>Berth Hire</v>
      </c>
      <c r="O91">
        <f t="shared" si="28"/>
        <v>80000</v>
      </c>
      <c r="P91" s="40">
        <f>IFERROR(VLOOKUP(J91,'Tariff Master'!G:J,2,0),0)</f>
        <v>1.5990000000000001E-2</v>
      </c>
      <c r="Q91">
        <f t="shared" si="24"/>
        <v>23</v>
      </c>
      <c r="R91" s="45">
        <f t="shared" si="25"/>
        <v>29421.600000000002</v>
      </c>
      <c r="S91">
        <f>IFERROR(VLOOKUP(J91,'Tariff Master'!G:J,3,0),0)</f>
        <v>400</v>
      </c>
      <c r="T91" t="str">
        <f>IFERROR(VLOOKUP(J91,'Tariff Master'!G:J,4,0),0)</f>
        <v>USD</v>
      </c>
      <c r="V91">
        <f t="shared" si="26"/>
        <v>83</v>
      </c>
      <c r="W91" s="46">
        <f t="shared" si="27"/>
        <v>0.24419928000000002</v>
      </c>
    </row>
    <row r="92" spans="1:25">
      <c r="A92" t="s">
        <v>183</v>
      </c>
      <c r="B92" t="s">
        <v>354</v>
      </c>
      <c r="C92" t="s">
        <v>373</v>
      </c>
      <c r="D92" t="s">
        <v>103</v>
      </c>
      <c r="E92" t="s">
        <v>4</v>
      </c>
      <c r="F92" s="28">
        <v>3.4720000000000001E-2</v>
      </c>
      <c r="G92" s="28">
        <v>200</v>
      </c>
      <c r="J92" t="str">
        <f t="shared" si="19"/>
        <v>KARAIKALBREAK BULKFOREIGNMooring</v>
      </c>
      <c r="K92" s="41" t="str">
        <f t="shared" si="20"/>
        <v>KARAIKAL</v>
      </c>
      <c r="L92" s="41" t="str">
        <f t="shared" si="21"/>
        <v>BREAK BULK</v>
      </c>
      <c r="M92" s="41" t="str">
        <f t="shared" si="22"/>
        <v>FOREIGN</v>
      </c>
      <c r="N92" s="41" t="str">
        <f t="shared" si="23"/>
        <v>Mooring</v>
      </c>
      <c r="O92">
        <f t="shared" si="28"/>
        <v>80000</v>
      </c>
      <c r="P92" s="40">
        <f>IFERROR(VLOOKUP(J92,'Tariff Master'!G:J,2,0),0)</f>
        <v>3.4720000000000001E-2</v>
      </c>
      <c r="Q92">
        <f t="shared" si="24"/>
        <v>1</v>
      </c>
      <c r="R92" s="45">
        <f t="shared" si="25"/>
        <v>2777.6</v>
      </c>
      <c r="S92">
        <f>IFERROR(VLOOKUP(J92,'Tariff Master'!G:J,3,0),0)</f>
        <v>200</v>
      </c>
      <c r="T92" t="str">
        <f>IFERROR(VLOOKUP(J92,'Tariff Master'!G:J,4,0),0)</f>
        <v>USD</v>
      </c>
      <c r="V92">
        <f t="shared" si="26"/>
        <v>83</v>
      </c>
      <c r="W92" s="46">
        <f t="shared" si="27"/>
        <v>2.3054079999999998E-2</v>
      </c>
    </row>
    <row r="93" spans="1:25">
      <c r="A93" t="s">
        <v>183</v>
      </c>
      <c r="B93" t="s">
        <v>354</v>
      </c>
      <c r="C93" t="s">
        <v>373</v>
      </c>
      <c r="D93" t="s">
        <v>103</v>
      </c>
      <c r="E93" t="s">
        <v>343</v>
      </c>
      <c r="F93" s="28">
        <v>600</v>
      </c>
      <c r="G93" s="28">
        <v>0</v>
      </c>
      <c r="J93" t="str">
        <f t="shared" si="19"/>
        <v>KARAIKALBREAK BULKFOREIGNPESP &amp; Dredging</v>
      </c>
      <c r="K93" s="41" t="str">
        <f t="shared" si="20"/>
        <v>KARAIKAL</v>
      </c>
      <c r="L93" s="41" t="str">
        <f t="shared" si="21"/>
        <v>BREAK BULK</v>
      </c>
      <c r="M93" s="41" t="str">
        <f t="shared" si="22"/>
        <v>FOREIGN</v>
      </c>
      <c r="N93" s="41" t="str">
        <f t="shared" si="23"/>
        <v>PESP &amp; Dredging</v>
      </c>
      <c r="O93">
        <f t="shared" si="28"/>
        <v>1</v>
      </c>
      <c r="P93" s="40">
        <f>IFERROR(VLOOKUP(J93,'Tariff Master'!G:J,2,0),0)</f>
        <v>800</v>
      </c>
      <c r="Q93">
        <f t="shared" si="24"/>
        <v>1</v>
      </c>
      <c r="R93" s="45">
        <f t="shared" si="25"/>
        <v>800</v>
      </c>
      <c r="S93">
        <f>IFERROR(VLOOKUP(J93,'Tariff Master'!G:J,3,0),0)</f>
        <v>0</v>
      </c>
      <c r="T93" t="str">
        <f>IFERROR(VLOOKUP(J93,'Tariff Master'!G:J,4,0),0)</f>
        <v>USD</v>
      </c>
      <c r="V93">
        <f t="shared" si="26"/>
        <v>83</v>
      </c>
      <c r="W93" s="46">
        <f t="shared" si="27"/>
        <v>6.6400000000000001E-3</v>
      </c>
    </row>
    <row r="94" spans="1:25">
      <c r="A94" t="s">
        <v>183</v>
      </c>
      <c r="B94" t="s">
        <v>354</v>
      </c>
      <c r="C94" t="s">
        <v>373</v>
      </c>
      <c r="D94" t="s">
        <v>103</v>
      </c>
      <c r="E94" t="s">
        <v>3</v>
      </c>
      <c r="F94" s="28">
        <v>1.1880999999999999</v>
      </c>
      <c r="G94" s="28">
        <v>18000</v>
      </c>
      <c r="J94" t="str">
        <f t="shared" si="19"/>
        <v>KARAIKALBREAK BULKFOREIGNPilotage</v>
      </c>
      <c r="K94" s="41" t="str">
        <f t="shared" si="20"/>
        <v>KARAIKAL</v>
      </c>
      <c r="L94" s="41" t="str">
        <f t="shared" si="21"/>
        <v>BREAK BULK</v>
      </c>
      <c r="M94" s="41" t="str">
        <f t="shared" si="22"/>
        <v>FOREIGN</v>
      </c>
      <c r="N94" s="41" t="str">
        <f t="shared" si="23"/>
        <v>Pilotage</v>
      </c>
      <c r="O94">
        <f t="shared" si="28"/>
        <v>80000</v>
      </c>
      <c r="P94" s="40">
        <f>IFERROR(VLOOKUP(J94,'Tariff Master'!G:J,2,0),0)</f>
        <v>1.1880999999999999</v>
      </c>
      <c r="Q94">
        <f t="shared" si="24"/>
        <v>1</v>
      </c>
      <c r="R94" s="45">
        <f t="shared" si="25"/>
        <v>95048</v>
      </c>
      <c r="S94">
        <f>IFERROR(VLOOKUP(J94,'Tariff Master'!G:J,3,0),0)</f>
        <v>18000</v>
      </c>
      <c r="T94" t="str">
        <f>IFERROR(VLOOKUP(J94,'Tariff Master'!G:J,4,0),0)</f>
        <v>USD</v>
      </c>
      <c r="V94">
        <f t="shared" si="26"/>
        <v>83</v>
      </c>
      <c r="W94" s="46">
        <f t="shared" si="27"/>
        <v>0.7888984</v>
      </c>
    </row>
    <row r="95" spans="1:25">
      <c r="A95" t="s">
        <v>183</v>
      </c>
      <c r="B95" t="s">
        <v>354</v>
      </c>
      <c r="C95" t="s">
        <v>373</v>
      </c>
      <c r="D95" t="s">
        <v>103</v>
      </c>
      <c r="E95" t="s">
        <v>0</v>
      </c>
      <c r="F95" s="28">
        <v>0.49</v>
      </c>
      <c r="G95" s="28">
        <v>0</v>
      </c>
      <c r="J95" t="str">
        <f t="shared" si="19"/>
        <v>KARAIKALBREAK BULKFOREIGNPort Dues</v>
      </c>
      <c r="K95" s="41" t="str">
        <f t="shared" si="20"/>
        <v>KARAIKAL</v>
      </c>
      <c r="L95" s="41" t="str">
        <f t="shared" si="21"/>
        <v>BREAK BULK</v>
      </c>
      <c r="M95" s="41" t="str">
        <f t="shared" si="22"/>
        <v>FOREIGN</v>
      </c>
      <c r="N95" s="41" t="str">
        <f t="shared" si="23"/>
        <v>Port Dues</v>
      </c>
      <c r="O95">
        <f t="shared" si="28"/>
        <v>80000</v>
      </c>
      <c r="P95" s="40">
        <f>IFERROR(VLOOKUP(J95,'Tariff Master'!G:J,2,0),0)</f>
        <v>0.49</v>
      </c>
      <c r="Q95">
        <f t="shared" si="24"/>
        <v>1</v>
      </c>
      <c r="R95" s="45">
        <f t="shared" si="25"/>
        <v>39200</v>
      </c>
      <c r="S95">
        <f>IFERROR(VLOOKUP(J95,'Tariff Master'!G:J,3,0),0)</f>
        <v>0</v>
      </c>
      <c r="T95" t="str">
        <f>IFERROR(VLOOKUP(J95,'Tariff Master'!G:J,4,0),0)</f>
        <v>USD</v>
      </c>
      <c r="V95">
        <f t="shared" si="26"/>
        <v>83</v>
      </c>
      <c r="W95" s="46">
        <f t="shared" si="27"/>
        <v>0.32535999999999998</v>
      </c>
    </row>
    <row r="96" spans="1:25">
      <c r="A96" t="s">
        <v>183</v>
      </c>
      <c r="B96" t="s">
        <v>90</v>
      </c>
      <c r="C96" t="s">
        <v>102</v>
      </c>
      <c r="D96" t="s">
        <v>138</v>
      </c>
      <c r="E96" t="s">
        <v>7</v>
      </c>
      <c r="F96" s="28">
        <v>0.11</v>
      </c>
      <c r="G96" s="28">
        <v>13420</v>
      </c>
      <c r="J96" t="str">
        <f t="shared" si="19"/>
        <v>KATTUPALLICONTAINERCOASTALBerth Hire</v>
      </c>
      <c r="K96" s="41" t="str">
        <f t="shared" si="20"/>
        <v>KATTUPALLI</v>
      </c>
      <c r="L96" s="41" t="str">
        <f t="shared" si="21"/>
        <v>CONTAINER</v>
      </c>
      <c r="M96" s="41" t="str">
        <f t="shared" si="22"/>
        <v>COASTAL</v>
      </c>
      <c r="N96" s="41" t="str">
        <f t="shared" si="23"/>
        <v>Berth Hire</v>
      </c>
      <c r="O96">
        <f t="shared" si="28"/>
        <v>80000</v>
      </c>
      <c r="P96" s="40">
        <f>IFERROR(VLOOKUP(J96,'Tariff Master'!G:J,2,0),0)</f>
        <v>0.11</v>
      </c>
      <c r="Q96">
        <f t="shared" si="24"/>
        <v>23</v>
      </c>
      <c r="R96" s="45">
        <f t="shared" si="25"/>
        <v>202400</v>
      </c>
      <c r="S96">
        <f>IFERROR(VLOOKUP(J96,'Tariff Master'!G:J,3,0),0)</f>
        <v>13420</v>
      </c>
      <c r="T96" t="str">
        <f>IFERROR(VLOOKUP(J96,'Tariff Master'!G:J,4,0),0)</f>
        <v>INR</v>
      </c>
      <c r="V96">
        <f t="shared" si="26"/>
        <v>83</v>
      </c>
      <c r="W96" s="46">
        <f t="shared" si="27"/>
        <v>2.0240000000000001E-2</v>
      </c>
    </row>
    <row r="97" spans="1:23">
      <c r="A97" t="s">
        <v>183</v>
      </c>
      <c r="B97" t="s">
        <v>90</v>
      </c>
      <c r="C97" t="s">
        <v>102</v>
      </c>
      <c r="D97" t="s">
        <v>138</v>
      </c>
      <c r="E97" t="s">
        <v>4</v>
      </c>
      <c r="F97" s="28">
        <v>3.5000000000000003E-2</v>
      </c>
      <c r="G97" s="28">
        <v>200</v>
      </c>
      <c r="J97" t="str">
        <f t="shared" si="19"/>
        <v>KATTUPALLICONTAINERCOASTALMooring</v>
      </c>
      <c r="K97" s="41" t="str">
        <f t="shared" si="20"/>
        <v>KATTUPALLI</v>
      </c>
      <c r="L97" s="41" t="str">
        <f t="shared" si="21"/>
        <v>CONTAINER</v>
      </c>
      <c r="M97" s="41" t="str">
        <f t="shared" si="22"/>
        <v>COASTAL</v>
      </c>
      <c r="N97" s="41" t="str">
        <f t="shared" si="23"/>
        <v>Mooring</v>
      </c>
      <c r="O97">
        <f t="shared" si="28"/>
        <v>80000</v>
      </c>
      <c r="P97" s="40">
        <f>IFERROR(VLOOKUP(J97,'Tariff Master'!G:J,2,0),0)</f>
        <v>3.5000000000000003E-2</v>
      </c>
      <c r="Q97">
        <f t="shared" si="24"/>
        <v>1</v>
      </c>
      <c r="R97" s="45">
        <f t="shared" si="25"/>
        <v>2800.0000000000005</v>
      </c>
      <c r="S97">
        <f>IFERROR(VLOOKUP(J97,'Tariff Master'!G:J,3,0),0)</f>
        <v>200</v>
      </c>
      <c r="T97" t="str">
        <f>IFERROR(VLOOKUP(J97,'Tariff Master'!G:J,4,0),0)</f>
        <v>USD</v>
      </c>
      <c r="V97">
        <f t="shared" si="26"/>
        <v>83</v>
      </c>
      <c r="W97" s="46">
        <f t="shared" si="27"/>
        <v>2.3240000000000004E-2</v>
      </c>
    </row>
    <row r="98" spans="1:23">
      <c r="A98" t="s">
        <v>183</v>
      </c>
      <c r="B98" t="s">
        <v>90</v>
      </c>
      <c r="C98" t="s">
        <v>102</v>
      </c>
      <c r="D98" t="s">
        <v>138</v>
      </c>
      <c r="E98" t="s">
        <v>343</v>
      </c>
      <c r="F98" s="28">
        <v>0</v>
      </c>
      <c r="G98" s="28">
        <v>0</v>
      </c>
      <c r="J98" t="str">
        <f t="shared" si="19"/>
        <v>KATTUPALLICONTAINERCOASTALPESP &amp; Dredging</v>
      </c>
      <c r="K98" s="41" t="str">
        <f t="shared" si="20"/>
        <v>KATTUPALLI</v>
      </c>
      <c r="L98" s="41" t="str">
        <f t="shared" si="21"/>
        <v>CONTAINER</v>
      </c>
      <c r="M98" s="41" t="str">
        <f t="shared" si="22"/>
        <v>COASTAL</v>
      </c>
      <c r="N98" s="41" t="str">
        <f t="shared" si="23"/>
        <v>PESP &amp; Dredging</v>
      </c>
      <c r="O98">
        <f t="shared" si="28"/>
        <v>1</v>
      </c>
      <c r="P98" s="40">
        <f>IFERROR(VLOOKUP(J98,'Tariff Master'!G:J,2,0),0)</f>
        <v>0</v>
      </c>
      <c r="Q98">
        <f t="shared" si="24"/>
        <v>1</v>
      </c>
      <c r="R98" s="45">
        <f t="shared" si="25"/>
        <v>0</v>
      </c>
      <c r="S98">
        <f>IFERROR(VLOOKUP(J98,'Tariff Master'!G:J,3,0),0)</f>
        <v>0</v>
      </c>
      <c r="T98" t="str">
        <f>IFERROR(VLOOKUP(J98,'Tariff Master'!G:J,4,0),0)</f>
        <v>USD</v>
      </c>
      <c r="V98">
        <f t="shared" si="26"/>
        <v>83</v>
      </c>
      <c r="W98" s="46">
        <f t="shared" si="27"/>
        <v>0</v>
      </c>
    </row>
    <row r="99" spans="1:23">
      <c r="A99" t="s">
        <v>183</v>
      </c>
      <c r="B99" t="s">
        <v>90</v>
      </c>
      <c r="C99" t="s">
        <v>102</v>
      </c>
      <c r="D99" t="s">
        <v>138</v>
      </c>
      <c r="E99" t="s">
        <v>3</v>
      </c>
      <c r="F99" s="28">
        <v>13.96</v>
      </c>
      <c r="G99" s="28">
        <v>41889</v>
      </c>
      <c r="J99" t="str">
        <f t="shared" si="19"/>
        <v>KATTUPALLICONTAINERCOASTALPilotage</v>
      </c>
      <c r="K99" s="41" t="str">
        <f t="shared" si="20"/>
        <v>KATTUPALLI</v>
      </c>
      <c r="L99" s="41" t="str">
        <f t="shared" si="21"/>
        <v>CONTAINER</v>
      </c>
      <c r="M99" s="41" t="str">
        <f t="shared" si="22"/>
        <v>COASTAL</v>
      </c>
      <c r="N99" s="41" t="str">
        <f t="shared" si="23"/>
        <v>Pilotage</v>
      </c>
      <c r="O99">
        <f t="shared" si="28"/>
        <v>80000</v>
      </c>
      <c r="P99" s="40">
        <f>IFERROR(VLOOKUP(J99,'Tariff Master'!G:J,2,0),0)</f>
        <v>22.35</v>
      </c>
      <c r="Q99">
        <f t="shared" si="24"/>
        <v>1</v>
      </c>
      <c r="R99" s="45">
        <f t="shared" si="25"/>
        <v>1788000</v>
      </c>
      <c r="S99">
        <f>IFERROR(VLOOKUP(J99,'Tariff Master'!G:J,3,0),0)</f>
        <v>41889</v>
      </c>
      <c r="T99" t="str">
        <f>IFERROR(VLOOKUP(J99,'Tariff Master'!G:J,4,0),0)</f>
        <v>INR</v>
      </c>
      <c r="V99">
        <f t="shared" si="26"/>
        <v>83</v>
      </c>
      <c r="W99" s="46">
        <f t="shared" si="27"/>
        <v>0.17879999999999999</v>
      </c>
    </row>
    <row r="100" spans="1:23">
      <c r="A100" t="s">
        <v>183</v>
      </c>
      <c r="B100" t="s">
        <v>90</v>
      </c>
      <c r="C100" t="s">
        <v>102</v>
      </c>
      <c r="D100" t="s">
        <v>103</v>
      </c>
      <c r="E100" t="s">
        <v>7</v>
      </c>
      <c r="F100" s="28">
        <v>3.8999999999999998E-3</v>
      </c>
      <c r="G100" s="28">
        <v>805</v>
      </c>
      <c r="J100" t="str">
        <f t="shared" si="19"/>
        <v>KATTUPALLICONTAINERFOREIGNBerth Hire</v>
      </c>
      <c r="K100" s="41" t="str">
        <f t="shared" si="20"/>
        <v>KATTUPALLI</v>
      </c>
      <c r="L100" s="41" t="str">
        <f t="shared" si="21"/>
        <v>CONTAINER</v>
      </c>
      <c r="M100" s="41" t="str">
        <f t="shared" si="22"/>
        <v>FOREIGN</v>
      </c>
      <c r="N100" s="41" t="str">
        <f t="shared" si="23"/>
        <v>Berth Hire</v>
      </c>
      <c r="O100">
        <f t="shared" si="28"/>
        <v>80000</v>
      </c>
      <c r="P100" s="40">
        <f>IFERROR(VLOOKUP(J100,'Tariff Master'!G:J,2,0),0)</f>
        <v>3.8999999999999998E-3</v>
      </c>
      <c r="Q100">
        <f t="shared" si="24"/>
        <v>23</v>
      </c>
      <c r="R100" s="45">
        <f t="shared" si="25"/>
        <v>7176</v>
      </c>
      <c r="S100">
        <f>IFERROR(VLOOKUP(J100,'Tariff Master'!G:J,3,0),0)</f>
        <v>805</v>
      </c>
      <c r="T100" t="str">
        <f>IFERROR(VLOOKUP(J100,'Tariff Master'!G:J,4,0),0)</f>
        <v>USD</v>
      </c>
      <c r="V100">
        <f t="shared" si="26"/>
        <v>83</v>
      </c>
      <c r="W100" s="46">
        <f t="shared" si="27"/>
        <v>5.9560799999999997E-2</v>
      </c>
    </row>
    <row r="101" spans="1:23">
      <c r="A101" t="s">
        <v>183</v>
      </c>
      <c r="B101" t="s">
        <v>90</v>
      </c>
      <c r="C101" t="s">
        <v>102</v>
      </c>
      <c r="D101" t="s">
        <v>103</v>
      </c>
      <c r="E101" t="s">
        <v>4</v>
      </c>
      <c r="F101" s="28">
        <v>3.5000000000000003E-2</v>
      </c>
      <c r="G101" s="28">
        <v>200</v>
      </c>
      <c r="J101" t="str">
        <f t="shared" si="19"/>
        <v>KATTUPALLICONTAINERFOREIGNMooring</v>
      </c>
      <c r="K101" s="41" t="str">
        <f t="shared" si="20"/>
        <v>KATTUPALLI</v>
      </c>
      <c r="L101" s="41" t="str">
        <f t="shared" si="21"/>
        <v>CONTAINER</v>
      </c>
      <c r="M101" s="41" t="str">
        <f t="shared" si="22"/>
        <v>FOREIGN</v>
      </c>
      <c r="N101" s="41" t="str">
        <f t="shared" si="23"/>
        <v>Mooring</v>
      </c>
      <c r="O101">
        <f t="shared" si="28"/>
        <v>80000</v>
      </c>
      <c r="P101" s="40">
        <f>IFERROR(VLOOKUP(J101,'Tariff Master'!G:J,2,0),0)</f>
        <v>3.5000000000000003E-2</v>
      </c>
      <c r="Q101">
        <f t="shared" si="24"/>
        <v>1</v>
      </c>
      <c r="R101" s="45">
        <f t="shared" si="25"/>
        <v>2800.0000000000005</v>
      </c>
      <c r="S101">
        <f>IFERROR(VLOOKUP(J101,'Tariff Master'!G:J,3,0),0)</f>
        <v>200</v>
      </c>
      <c r="T101" t="str">
        <f>IFERROR(VLOOKUP(J101,'Tariff Master'!G:J,4,0),0)</f>
        <v>USD</v>
      </c>
      <c r="V101">
        <f t="shared" si="26"/>
        <v>83</v>
      </c>
      <c r="W101" s="46">
        <f t="shared" si="27"/>
        <v>2.3240000000000004E-2</v>
      </c>
    </row>
    <row r="102" spans="1:23">
      <c r="A102" t="s">
        <v>183</v>
      </c>
      <c r="B102" t="s">
        <v>90</v>
      </c>
      <c r="C102" t="s">
        <v>102</v>
      </c>
      <c r="D102" t="s">
        <v>103</v>
      </c>
      <c r="E102" t="s">
        <v>343</v>
      </c>
      <c r="F102" s="28">
        <v>0</v>
      </c>
      <c r="G102" s="28">
        <v>0</v>
      </c>
      <c r="J102" t="str">
        <f t="shared" si="19"/>
        <v>KATTUPALLICONTAINERFOREIGNPESP &amp; Dredging</v>
      </c>
      <c r="K102" s="41" t="str">
        <f t="shared" si="20"/>
        <v>KATTUPALLI</v>
      </c>
      <c r="L102" s="41" t="str">
        <f t="shared" si="21"/>
        <v>CONTAINER</v>
      </c>
      <c r="M102" s="41" t="str">
        <f t="shared" si="22"/>
        <v>FOREIGN</v>
      </c>
      <c r="N102" s="41" t="str">
        <f t="shared" si="23"/>
        <v>PESP &amp; Dredging</v>
      </c>
      <c r="O102">
        <f t="shared" si="28"/>
        <v>1</v>
      </c>
      <c r="P102" s="40">
        <f>IFERROR(VLOOKUP(J102,'Tariff Master'!G:J,2,0),0)</f>
        <v>0</v>
      </c>
      <c r="Q102">
        <f t="shared" si="24"/>
        <v>1</v>
      </c>
      <c r="R102" s="45">
        <f t="shared" si="25"/>
        <v>0</v>
      </c>
      <c r="S102">
        <f>IFERROR(VLOOKUP(J102,'Tariff Master'!G:J,3,0),0)</f>
        <v>0</v>
      </c>
      <c r="T102" t="str">
        <f>IFERROR(VLOOKUP(J102,'Tariff Master'!G:J,4,0),0)</f>
        <v>USD</v>
      </c>
      <c r="V102">
        <f t="shared" si="26"/>
        <v>83</v>
      </c>
      <c r="W102" s="46">
        <f t="shared" si="27"/>
        <v>0</v>
      </c>
    </row>
    <row r="103" spans="1:23">
      <c r="A103" t="s">
        <v>183</v>
      </c>
      <c r="B103" t="s">
        <v>90</v>
      </c>
      <c r="C103" t="s">
        <v>102</v>
      </c>
      <c r="D103" t="s">
        <v>103</v>
      </c>
      <c r="E103" t="s">
        <v>3</v>
      </c>
      <c r="F103" s="28">
        <v>0.502</v>
      </c>
      <c r="G103" s="28">
        <v>3492</v>
      </c>
      <c r="J103" t="str">
        <f t="shared" si="19"/>
        <v>KATTUPALLICONTAINERFOREIGNPilotage</v>
      </c>
      <c r="K103" s="41" t="str">
        <f t="shared" si="20"/>
        <v>KATTUPALLI</v>
      </c>
      <c r="L103" s="41" t="str">
        <f t="shared" si="21"/>
        <v>CONTAINER</v>
      </c>
      <c r="M103" s="41" t="str">
        <f t="shared" si="22"/>
        <v>FOREIGN</v>
      </c>
      <c r="N103" s="41" t="str">
        <f t="shared" si="23"/>
        <v>Pilotage</v>
      </c>
      <c r="O103">
        <f t="shared" si="28"/>
        <v>80000</v>
      </c>
      <c r="P103" s="40">
        <f>IFERROR(VLOOKUP(J103,'Tariff Master'!G:J,2,0),0)</f>
        <v>0.82399999999999995</v>
      </c>
      <c r="Q103">
        <f t="shared" si="24"/>
        <v>1</v>
      </c>
      <c r="R103" s="45">
        <f t="shared" si="25"/>
        <v>65920</v>
      </c>
      <c r="S103">
        <f>IFERROR(VLOOKUP(J103,'Tariff Master'!G:J,3,0),0)</f>
        <v>3492</v>
      </c>
      <c r="T103" t="str">
        <f>IFERROR(VLOOKUP(J103,'Tariff Master'!G:J,4,0),0)</f>
        <v>USD</v>
      </c>
      <c r="V103">
        <f t="shared" si="26"/>
        <v>83</v>
      </c>
      <c r="W103" s="46">
        <f t="shared" si="27"/>
        <v>0.54713599999999996</v>
      </c>
    </row>
    <row r="104" spans="1:23">
      <c r="A104" t="s">
        <v>183</v>
      </c>
      <c r="B104" t="s">
        <v>90</v>
      </c>
      <c r="C104" t="s">
        <v>355</v>
      </c>
      <c r="D104" t="s">
        <v>138</v>
      </c>
      <c r="E104" t="s">
        <v>7</v>
      </c>
      <c r="F104" s="28">
        <v>0.13</v>
      </c>
      <c r="G104" s="28">
        <v>13420</v>
      </c>
      <c r="J104" t="str">
        <f t="shared" si="19"/>
        <v>KATTUPALLIDRY BULKCOASTALBerth Hire</v>
      </c>
      <c r="K104" s="41" t="str">
        <f t="shared" si="20"/>
        <v>KATTUPALLI</v>
      </c>
      <c r="L104" s="41" t="str">
        <f t="shared" si="21"/>
        <v>DRY BULK</v>
      </c>
      <c r="M104" s="41" t="str">
        <f t="shared" si="22"/>
        <v>COASTAL</v>
      </c>
      <c r="N104" s="41" t="str">
        <f t="shared" si="23"/>
        <v>Berth Hire</v>
      </c>
      <c r="O104">
        <f t="shared" si="28"/>
        <v>80000</v>
      </c>
      <c r="P104" s="40">
        <f>IFERROR(VLOOKUP(J104,'Tariff Master'!G:J,2,0),0)</f>
        <v>0.13</v>
      </c>
      <c r="Q104">
        <f t="shared" si="24"/>
        <v>23</v>
      </c>
      <c r="R104" s="45">
        <f t="shared" si="25"/>
        <v>239200</v>
      </c>
      <c r="S104">
        <f>IFERROR(VLOOKUP(J104,'Tariff Master'!G:J,3,0),0)</f>
        <v>13420</v>
      </c>
      <c r="T104" t="str">
        <f>IFERROR(VLOOKUP(J104,'Tariff Master'!G:J,4,0),0)</f>
        <v>INR</v>
      </c>
      <c r="V104">
        <f t="shared" si="26"/>
        <v>83</v>
      </c>
      <c r="W104" s="46">
        <f t="shared" si="27"/>
        <v>2.392E-2</v>
      </c>
    </row>
    <row r="105" spans="1:23">
      <c r="A105" t="s">
        <v>183</v>
      </c>
      <c r="B105" t="s">
        <v>90</v>
      </c>
      <c r="C105" t="s">
        <v>355</v>
      </c>
      <c r="D105" t="s">
        <v>138</v>
      </c>
      <c r="E105" t="s">
        <v>4</v>
      </c>
      <c r="F105" s="28">
        <v>3.5000000000000003E-2</v>
      </c>
      <c r="G105" s="28">
        <v>200</v>
      </c>
      <c r="J105" t="str">
        <f t="shared" si="19"/>
        <v>KATTUPALLIDRY BULKCOASTALMooring</v>
      </c>
      <c r="K105" s="41" t="str">
        <f t="shared" si="20"/>
        <v>KATTUPALLI</v>
      </c>
      <c r="L105" s="41" t="str">
        <f t="shared" si="21"/>
        <v>DRY BULK</v>
      </c>
      <c r="M105" s="41" t="str">
        <f t="shared" si="22"/>
        <v>COASTAL</v>
      </c>
      <c r="N105" s="41" t="str">
        <f t="shared" si="23"/>
        <v>Mooring</v>
      </c>
      <c r="O105">
        <f t="shared" si="28"/>
        <v>80000</v>
      </c>
      <c r="P105" s="40">
        <f>IFERROR(VLOOKUP(J105,'Tariff Master'!G:J,2,0),0)</f>
        <v>3.5000000000000003E-2</v>
      </c>
      <c r="Q105">
        <f t="shared" si="24"/>
        <v>1</v>
      </c>
      <c r="R105" s="45">
        <f t="shared" si="25"/>
        <v>2800.0000000000005</v>
      </c>
      <c r="S105">
        <f>IFERROR(VLOOKUP(J105,'Tariff Master'!G:J,3,0),0)</f>
        <v>200</v>
      </c>
      <c r="T105" t="str">
        <f>IFERROR(VLOOKUP(J105,'Tariff Master'!G:J,4,0),0)</f>
        <v>USD</v>
      </c>
      <c r="V105">
        <f t="shared" si="26"/>
        <v>83</v>
      </c>
      <c r="W105" s="46">
        <f t="shared" si="27"/>
        <v>2.3240000000000004E-2</v>
      </c>
    </row>
    <row r="106" spans="1:23">
      <c r="A106" t="s">
        <v>183</v>
      </c>
      <c r="B106" t="s">
        <v>90</v>
      </c>
      <c r="C106" t="s">
        <v>355</v>
      </c>
      <c r="D106" t="s">
        <v>138</v>
      </c>
      <c r="E106" t="s">
        <v>343</v>
      </c>
      <c r="F106" s="28">
        <v>600</v>
      </c>
      <c r="G106" s="28">
        <v>0</v>
      </c>
      <c r="J106" t="str">
        <f t="shared" si="19"/>
        <v>KATTUPALLIDRY BULKCOASTALPESP &amp; Dredging</v>
      </c>
      <c r="K106" s="41" t="str">
        <f t="shared" si="20"/>
        <v>KATTUPALLI</v>
      </c>
      <c r="L106" s="41" t="str">
        <f t="shared" si="21"/>
        <v>DRY BULK</v>
      </c>
      <c r="M106" s="41" t="str">
        <f t="shared" si="22"/>
        <v>COASTAL</v>
      </c>
      <c r="N106" s="41" t="str">
        <f t="shared" si="23"/>
        <v>PESP &amp; Dredging</v>
      </c>
      <c r="O106">
        <f t="shared" si="28"/>
        <v>1</v>
      </c>
      <c r="P106" s="40">
        <f>IFERROR(VLOOKUP(J106,'Tariff Master'!G:J,2,0),0)</f>
        <v>800</v>
      </c>
      <c r="Q106">
        <f t="shared" si="24"/>
        <v>1</v>
      </c>
      <c r="R106" s="45">
        <f t="shared" si="25"/>
        <v>800</v>
      </c>
      <c r="S106">
        <f>IFERROR(VLOOKUP(J106,'Tariff Master'!G:J,3,0),0)</f>
        <v>0</v>
      </c>
      <c r="T106" t="str">
        <f>IFERROR(VLOOKUP(J106,'Tariff Master'!G:J,4,0),0)</f>
        <v>USD</v>
      </c>
      <c r="V106">
        <f t="shared" si="26"/>
        <v>83</v>
      </c>
      <c r="W106" s="46">
        <f t="shared" si="27"/>
        <v>6.6400000000000001E-3</v>
      </c>
    </row>
    <row r="107" spans="1:23">
      <c r="A107" t="s">
        <v>183</v>
      </c>
      <c r="B107" t="s">
        <v>90</v>
      </c>
      <c r="C107" t="s">
        <v>355</v>
      </c>
      <c r="D107" t="s">
        <v>138</v>
      </c>
      <c r="E107" t="s">
        <v>3</v>
      </c>
      <c r="F107" s="28">
        <v>14.3</v>
      </c>
      <c r="G107" s="28">
        <v>42887</v>
      </c>
      <c r="J107" t="str">
        <f t="shared" si="19"/>
        <v>KATTUPALLIDRY BULKCOASTALPilotage</v>
      </c>
      <c r="K107" s="41" t="str">
        <f t="shared" si="20"/>
        <v>KATTUPALLI</v>
      </c>
      <c r="L107" s="41" t="str">
        <f t="shared" si="21"/>
        <v>DRY BULK</v>
      </c>
      <c r="M107" s="41" t="str">
        <f t="shared" si="22"/>
        <v>COASTAL</v>
      </c>
      <c r="N107" s="41" t="str">
        <f t="shared" si="23"/>
        <v>Pilotage</v>
      </c>
      <c r="O107">
        <f t="shared" si="28"/>
        <v>80000</v>
      </c>
      <c r="P107" s="40">
        <f>IFERROR(VLOOKUP(J107,'Tariff Master'!G:J,2,0),0)</f>
        <v>22.87</v>
      </c>
      <c r="Q107">
        <f t="shared" si="24"/>
        <v>1</v>
      </c>
      <c r="R107" s="45">
        <f t="shared" si="25"/>
        <v>1829600</v>
      </c>
      <c r="S107">
        <f>IFERROR(VLOOKUP(J107,'Tariff Master'!G:J,3,0),0)</f>
        <v>42887</v>
      </c>
      <c r="T107" t="str">
        <f>IFERROR(VLOOKUP(J107,'Tariff Master'!G:J,4,0),0)</f>
        <v>INR</v>
      </c>
      <c r="V107">
        <f t="shared" si="26"/>
        <v>83</v>
      </c>
      <c r="W107" s="46">
        <f t="shared" si="27"/>
        <v>0.18296000000000001</v>
      </c>
    </row>
    <row r="108" spans="1:23">
      <c r="A108" t="s">
        <v>183</v>
      </c>
      <c r="B108" t="s">
        <v>90</v>
      </c>
      <c r="C108" t="s">
        <v>355</v>
      </c>
      <c r="D108" t="s">
        <v>103</v>
      </c>
      <c r="E108" t="s">
        <v>7</v>
      </c>
      <c r="F108" s="28">
        <v>5.4000000000000003E-3</v>
      </c>
      <c r="G108" s="28">
        <v>805</v>
      </c>
      <c r="J108" t="str">
        <f t="shared" si="19"/>
        <v>KATTUPALLIDRY BULKFOREIGNBerth Hire</v>
      </c>
      <c r="K108" s="41" t="str">
        <f t="shared" si="20"/>
        <v>KATTUPALLI</v>
      </c>
      <c r="L108" s="41" t="str">
        <f t="shared" si="21"/>
        <v>DRY BULK</v>
      </c>
      <c r="M108" s="41" t="str">
        <f t="shared" si="22"/>
        <v>FOREIGN</v>
      </c>
      <c r="N108" s="41" t="str">
        <f t="shared" si="23"/>
        <v>Berth Hire</v>
      </c>
      <c r="O108">
        <f t="shared" si="28"/>
        <v>80000</v>
      </c>
      <c r="P108" s="40">
        <f>IFERROR(VLOOKUP(J108,'Tariff Master'!G:J,2,0),0)</f>
        <v>5.4000000000000003E-3</v>
      </c>
      <c r="Q108">
        <f t="shared" si="24"/>
        <v>23</v>
      </c>
      <c r="R108" s="45">
        <f t="shared" si="25"/>
        <v>9936</v>
      </c>
      <c r="S108">
        <f>IFERROR(VLOOKUP(J108,'Tariff Master'!G:J,3,0),0)</f>
        <v>805</v>
      </c>
      <c r="T108" t="str">
        <f>IFERROR(VLOOKUP(J108,'Tariff Master'!G:J,4,0),0)</f>
        <v>USD</v>
      </c>
      <c r="V108">
        <f t="shared" si="26"/>
        <v>83</v>
      </c>
      <c r="W108" s="46">
        <f t="shared" si="27"/>
        <v>8.2468799999999995E-2</v>
      </c>
    </row>
    <row r="109" spans="1:23">
      <c r="A109" t="s">
        <v>183</v>
      </c>
      <c r="B109" t="s">
        <v>90</v>
      </c>
      <c r="C109" t="s">
        <v>355</v>
      </c>
      <c r="D109" t="s">
        <v>103</v>
      </c>
      <c r="E109" t="s">
        <v>4</v>
      </c>
      <c r="F109" s="28">
        <v>3.5000000000000003E-2</v>
      </c>
      <c r="G109" s="28">
        <v>200</v>
      </c>
      <c r="J109" t="str">
        <f t="shared" ref="J109:J141" si="29">K109&amp;L109&amp;M109&amp;N109</f>
        <v>KATTUPALLIDRY BULKFOREIGNMooring</v>
      </c>
      <c r="K109" s="41" t="str">
        <f t="shared" ref="K109:K141" si="30">B109</f>
        <v>KATTUPALLI</v>
      </c>
      <c r="L109" s="41" t="str">
        <f t="shared" ref="L109:L141" si="31">C109</f>
        <v>DRY BULK</v>
      </c>
      <c r="M109" s="41" t="str">
        <f t="shared" ref="M109:M141" si="32">D109</f>
        <v>FOREIGN</v>
      </c>
      <c r="N109" s="41" t="str">
        <f t="shared" ref="N109:N141" si="33">E109</f>
        <v>Mooring</v>
      </c>
      <c r="O109">
        <f t="shared" si="28"/>
        <v>80000</v>
      </c>
      <c r="P109" s="40">
        <f>IFERROR(VLOOKUP(J109,'Tariff Master'!G:J,2,0),0)</f>
        <v>3.5000000000000003E-2</v>
      </c>
      <c r="Q109">
        <f t="shared" ref="Q109:Q140" si="34">IF(N109="Berth Hire",$X$2,1)</f>
        <v>1</v>
      </c>
      <c r="R109" s="45">
        <f t="shared" ref="R109:R140" si="35">MAX(O109*P109*IF(N109="Berth Hire",Q109,1),S109)</f>
        <v>2800.0000000000005</v>
      </c>
      <c r="S109" s="28">
        <f>IFERROR(VLOOKUP(J109,'Tariff Master'!G:J,3,0),0)</f>
        <v>200</v>
      </c>
      <c r="T109" s="28" t="str">
        <f>IFERROR(VLOOKUP(J109,'Tariff Master'!G:J,4,0),0)</f>
        <v>USD</v>
      </c>
      <c r="V109">
        <f t="shared" ref="V109:V140" si="36">$X$3</f>
        <v>83</v>
      </c>
      <c r="W109" s="46">
        <f t="shared" ref="W109:W140" si="37">R109*IF(T109="USD",V109,1)/10^7</f>
        <v>2.3240000000000004E-2</v>
      </c>
    </row>
    <row r="110" spans="1:23">
      <c r="A110" t="s">
        <v>183</v>
      </c>
      <c r="B110" t="s">
        <v>90</v>
      </c>
      <c r="C110" t="s">
        <v>355</v>
      </c>
      <c r="D110" t="s">
        <v>103</v>
      </c>
      <c r="E110" t="s">
        <v>343</v>
      </c>
      <c r="F110" s="28">
        <v>600</v>
      </c>
      <c r="G110" s="28">
        <v>0</v>
      </c>
      <c r="J110" t="str">
        <f t="shared" si="29"/>
        <v>KATTUPALLIDRY BULKFOREIGNPESP &amp; Dredging</v>
      </c>
      <c r="K110" s="41" t="str">
        <f t="shared" si="30"/>
        <v>KATTUPALLI</v>
      </c>
      <c r="L110" s="41" t="str">
        <f t="shared" si="31"/>
        <v>DRY BULK</v>
      </c>
      <c r="M110" s="41" t="str">
        <f t="shared" si="32"/>
        <v>FOREIGN</v>
      </c>
      <c r="N110" s="41" t="str">
        <f t="shared" si="33"/>
        <v>PESP &amp; Dredging</v>
      </c>
      <c r="O110">
        <f t="shared" si="28"/>
        <v>1</v>
      </c>
      <c r="P110" s="40">
        <f>IFERROR(VLOOKUP(J110,'Tariff Master'!G:J,2,0),0)</f>
        <v>800</v>
      </c>
      <c r="Q110">
        <f t="shared" si="34"/>
        <v>1</v>
      </c>
      <c r="R110" s="45">
        <f t="shared" si="35"/>
        <v>800</v>
      </c>
      <c r="S110" s="28">
        <f>IFERROR(VLOOKUP(J110,'Tariff Master'!G:J,3,0),0)</f>
        <v>0</v>
      </c>
      <c r="T110" s="28" t="str">
        <f>IFERROR(VLOOKUP(J110,'Tariff Master'!G:J,4,0),0)</f>
        <v>USD</v>
      </c>
      <c r="V110">
        <f t="shared" si="36"/>
        <v>83</v>
      </c>
      <c r="W110" s="46">
        <f t="shared" si="37"/>
        <v>6.6400000000000001E-3</v>
      </c>
    </row>
    <row r="111" spans="1:23">
      <c r="A111" t="s">
        <v>183</v>
      </c>
      <c r="B111" t="s">
        <v>90</v>
      </c>
      <c r="C111" t="s">
        <v>355</v>
      </c>
      <c r="D111" t="s">
        <v>103</v>
      </c>
      <c r="E111" t="s">
        <v>3</v>
      </c>
      <c r="F111" s="28">
        <v>0.70299999999999996</v>
      </c>
      <c r="G111" s="28">
        <v>3861</v>
      </c>
      <c r="J111" t="str">
        <f t="shared" si="29"/>
        <v>KATTUPALLIDRY BULKFOREIGNPilotage</v>
      </c>
      <c r="K111" s="41" t="str">
        <f t="shared" si="30"/>
        <v>KATTUPALLI</v>
      </c>
      <c r="L111" s="41" t="str">
        <f t="shared" si="31"/>
        <v>DRY BULK</v>
      </c>
      <c r="M111" s="41" t="str">
        <f t="shared" si="32"/>
        <v>FOREIGN</v>
      </c>
      <c r="N111" s="41" t="str">
        <f t="shared" si="33"/>
        <v>Pilotage</v>
      </c>
      <c r="O111">
        <f t="shared" si="28"/>
        <v>80000</v>
      </c>
      <c r="P111" s="40">
        <f>IFERROR(VLOOKUP(J111,'Tariff Master'!G:J,2,0),0)</f>
        <v>0.92900000000000005</v>
      </c>
      <c r="Q111">
        <f t="shared" si="34"/>
        <v>1</v>
      </c>
      <c r="R111" s="45">
        <f t="shared" si="35"/>
        <v>74320</v>
      </c>
      <c r="S111" s="28">
        <f>IFERROR(VLOOKUP(J111,'Tariff Master'!G:J,3,0),0)</f>
        <v>3861</v>
      </c>
      <c r="T111" s="28" t="str">
        <f>IFERROR(VLOOKUP(J111,'Tariff Master'!G:J,4,0),0)</f>
        <v>USD</v>
      </c>
      <c r="V111">
        <f t="shared" si="36"/>
        <v>83</v>
      </c>
      <c r="W111" s="46">
        <f t="shared" si="37"/>
        <v>0.61685599999999996</v>
      </c>
    </row>
    <row r="112" spans="1:23">
      <c r="A112" t="s">
        <v>183</v>
      </c>
      <c r="B112" t="s">
        <v>90</v>
      </c>
      <c r="C112" t="s">
        <v>140</v>
      </c>
      <c r="D112" t="s">
        <v>138</v>
      </c>
      <c r="E112" t="s">
        <v>7</v>
      </c>
      <c r="F112" s="28">
        <v>0.13</v>
      </c>
      <c r="G112" s="28">
        <v>13420</v>
      </c>
      <c r="J112" t="str">
        <f t="shared" si="29"/>
        <v>KATTUPALLITANKERCOASTALBerth Hire</v>
      </c>
      <c r="K112" s="41" t="str">
        <f t="shared" si="30"/>
        <v>KATTUPALLI</v>
      </c>
      <c r="L112" s="41" t="str">
        <f t="shared" si="31"/>
        <v>TANKER</v>
      </c>
      <c r="M112" s="41" t="str">
        <f t="shared" si="32"/>
        <v>COASTAL</v>
      </c>
      <c r="N112" s="41" t="str">
        <f t="shared" si="33"/>
        <v>Berth Hire</v>
      </c>
      <c r="O112">
        <f t="shared" ref="O112:O143" si="38">IF(N112="PESP &amp; Dredging",1,$X$1)</f>
        <v>80000</v>
      </c>
      <c r="P112" s="40">
        <f>IFERROR(VLOOKUP(J112,'Tariff Master'!G:J,2,0),0)</f>
        <v>0.13</v>
      </c>
      <c r="Q112">
        <f t="shared" si="34"/>
        <v>23</v>
      </c>
      <c r="R112" s="45">
        <f t="shared" si="35"/>
        <v>239200</v>
      </c>
      <c r="S112" s="28">
        <f>IFERROR(VLOOKUP(J112,'Tariff Master'!G:J,3,0),0)</f>
        <v>13420</v>
      </c>
      <c r="T112" s="28" t="str">
        <f>IFERROR(VLOOKUP(J112,'Tariff Master'!G:J,4,0),0)</f>
        <v>INR</v>
      </c>
      <c r="V112">
        <f t="shared" si="36"/>
        <v>83</v>
      </c>
      <c r="W112" s="46">
        <f t="shared" si="37"/>
        <v>2.392E-2</v>
      </c>
    </row>
    <row r="113" spans="1:23">
      <c r="A113" t="s">
        <v>183</v>
      </c>
      <c r="B113" t="s">
        <v>90</v>
      </c>
      <c r="C113" t="s">
        <v>140</v>
      </c>
      <c r="D113" t="s">
        <v>138</v>
      </c>
      <c r="E113" t="s">
        <v>4</v>
      </c>
      <c r="F113" s="28">
        <v>3.5000000000000003E-2</v>
      </c>
      <c r="G113" s="28">
        <v>200</v>
      </c>
      <c r="J113" t="str">
        <f t="shared" si="29"/>
        <v>KATTUPALLITANKERCOASTALMooring</v>
      </c>
      <c r="K113" s="41" t="str">
        <f t="shared" si="30"/>
        <v>KATTUPALLI</v>
      </c>
      <c r="L113" s="41" t="str">
        <f t="shared" si="31"/>
        <v>TANKER</v>
      </c>
      <c r="M113" s="41" t="str">
        <f t="shared" si="32"/>
        <v>COASTAL</v>
      </c>
      <c r="N113" s="41" t="str">
        <f t="shared" si="33"/>
        <v>Mooring</v>
      </c>
      <c r="O113">
        <f t="shared" si="38"/>
        <v>80000</v>
      </c>
      <c r="P113" s="40">
        <f>IFERROR(VLOOKUP(J113,'Tariff Master'!G:J,2,0),0)</f>
        <v>3.5000000000000003E-2</v>
      </c>
      <c r="Q113">
        <f t="shared" si="34"/>
        <v>1</v>
      </c>
      <c r="R113" s="45">
        <f t="shared" si="35"/>
        <v>2800.0000000000005</v>
      </c>
      <c r="S113" s="28">
        <f>IFERROR(VLOOKUP(J113,'Tariff Master'!G:J,3,0),0)</f>
        <v>200</v>
      </c>
      <c r="T113" s="28" t="str">
        <f>IFERROR(VLOOKUP(J113,'Tariff Master'!G:J,4,0),0)</f>
        <v>USD</v>
      </c>
      <c r="V113">
        <f t="shared" si="36"/>
        <v>83</v>
      </c>
      <c r="W113" s="46">
        <f t="shared" si="37"/>
        <v>2.3240000000000004E-2</v>
      </c>
    </row>
    <row r="114" spans="1:23">
      <c r="A114" t="s">
        <v>183</v>
      </c>
      <c r="B114" t="s">
        <v>90</v>
      </c>
      <c r="C114" t="s">
        <v>140</v>
      </c>
      <c r="D114" t="s">
        <v>138</v>
      </c>
      <c r="E114" t="s">
        <v>343</v>
      </c>
      <c r="F114" s="28">
        <v>600</v>
      </c>
      <c r="G114" s="28">
        <v>0</v>
      </c>
      <c r="J114" t="str">
        <f t="shared" si="29"/>
        <v>KATTUPALLITANKERCOASTALPESP &amp; Dredging</v>
      </c>
      <c r="K114" s="41" t="str">
        <f t="shared" si="30"/>
        <v>KATTUPALLI</v>
      </c>
      <c r="L114" s="41" t="str">
        <f t="shared" si="31"/>
        <v>TANKER</v>
      </c>
      <c r="M114" s="41" t="str">
        <f t="shared" si="32"/>
        <v>COASTAL</v>
      </c>
      <c r="N114" s="41" t="str">
        <f t="shared" si="33"/>
        <v>PESP &amp; Dredging</v>
      </c>
      <c r="O114">
        <f t="shared" si="38"/>
        <v>1</v>
      </c>
      <c r="P114" s="40">
        <f>IFERROR(VLOOKUP(J114,'Tariff Master'!G:J,2,0),0)</f>
        <v>800</v>
      </c>
      <c r="Q114">
        <f t="shared" si="34"/>
        <v>1</v>
      </c>
      <c r="R114" s="45">
        <f t="shared" si="35"/>
        <v>800</v>
      </c>
      <c r="S114" s="28">
        <f>IFERROR(VLOOKUP(J114,'Tariff Master'!G:J,3,0),0)</f>
        <v>0</v>
      </c>
      <c r="T114" s="28" t="str">
        <f>IFERROR(VLOOKUP(J114,'Tariff Master'!G:J,4,0),0)</f>
        <v>USD</v>
      </c>
      <c r="V114">
        <f t="shared" si="36"/>
        <v>83</v>
      </c>
      <c r="W114" s="46">
        <f t="shared" si="37"/>
        <v>6.6400000000000001E-3</v>
      </c>
    </row>
    <row r="115" spans="1:23">
      <c r="A115" t="s">
        <v>183</v>
      </c>
      <c r="B115" t="s">
        <v>90</v>
      </c>
      <c r="C115" t="s">
        <v>140</v>
      </c>
      <c r="D115" t="s">
        <v>138</v>
      </c>
      <c r="E115" t="s">
        <v>3</v>
      </c>
      <c r="F115" s="28">
        <v>14.3</v>
      </c>
      <c r="G115" s="28">
        <v>42887</v>
      </c>
      <c r="J115" t="str">
        <f t="shared" si="29"/>
        <v>KATTUPALLITANKERCOASTALPilotage</v>
      </c>
      <c r="K115" s="41" t="str">
        <f t="shared" si="30"/>
        <v>KATTUPALLI</v>
      </c>
      <c r="L115" s="41" t="str">
        <f t="shared" si="31"/>
        <v>TANKER</v>
      </c>
      <c r="M115" s="41" t="str">
        <f t="shared" si="32"/>
        <v>COASTAL</v>
      </c>
      <c r="N115" s="41" t="str">
        <f t="shared" si="33"/>
        <v>Pilotage</v>
      </c>
      <c r="O115">
        <f t="shared" si="38"/>
        <v>80000</v>
      </c>
      <c r="P115" s="40">
        <f>IFERROR(VLOOKUP(J115,'Tariff Master'!G:J,2,0),0)</f>
        <v>22.87</v>
      </c>
      <c r="Q115">
        <f t="shared" si="34"/>
        <v>1</v>
      </c>
      <c r="R115" s="45">
        <f t="shared" si="35"/>
        <v>1829600</v>
      </c>
      <c r="S115" s="28">
        <f>IFERROR(VLOOKUP(J115,'Tariff Master'!G:J,3,0),0)</f>
        <v>42887</v>
      </c>
      <c r="T115" s="28" t="str">
        <f>IFERROR(VLOOKUP(J115,'Tariff Master'!G:J,4,0),0)</f>
        <v>INR</v>
      </c>
      <c r="V115">
        <f t="shared" si="36"/>
        <v>83</v>
      </c>
      <c r="W115" s="46">
        <f t="shared" si="37"/>
        <v>0.18296000000000001</v>
      </c>
    </row>
    <row r="116" spans="1:23">
      <c r="A116" t="s">
        <v>183</v>
      </c>
      <c r="B116" t="s">
        <v>90</v>
      </c>
      <c r="C116" t="s">
        <v>140</v>
      </c>
      <c r="D116" t="s">
        <v>103</v>
      </c>
      <c r="E116" t="s">
        <v>7</v>
      </c>
      <c r="F116" s="28">
        <v>5.4000000000000003E-3</v>
      </c>
      <c r="G116" s="28">
        <v>805</v>
      </c>
      <c r="J116" t="str">
        <f t="shared" si="29"/>
        <v>KATTUPALLITANKERFOREIGNBerth Hire</v>
      </c>
      <c r="K116" s="41" t="str">
        <f t="shared" si="30"/>
        <v>KATTUPALLI</v>
      </c>
      <c r="L116" s="41" t="str">
        <f t="shared" si="31"/>
        <v>TANKER</v>
      </c>
      <c r="M116" s="41" t="str">
        <f t="shared" si="32"/>
        <v>FOREIGN</v>
      </c>
      <c r="N116" s="41" t="str">
        <f t="shared" si="33"/>
        <v>Berth Hire</v>
      </c>
      <c r="O116">
        <f t="shared" si="38"/>
        <v>80000</v>
      </c>
      <c r="P116" s="40">
        <f>IFERROR(VLOOKUP(J116,'Tariff Master'!G:J,2,0),0)</f>
        <v>5.4000000000000003E-3</v>
      </c>
      <c r="Q116">
        <f t="shared" si="34"/>
        <v>23</v>
      </c>
      <c r="R116" s="45">
        <f t="shared" si="35"/>
        <v>9936</v>
      </c>
      <c r="S116" s="28">
        <f>IFERROR(VLOOKUP(J116,'Tariff Master'!G:J,3,0),0)</f>
        <v>805</v>
      </c>
      <c r="T116" s="28" t="str">
        <f>IFERROR(VLOOKUP(J116,'Tariff Master'!G:J,4,0),0)</f>
        <v>USD</v>
      </c>
      <c r="V116">
        <f t="shared" si="36"/>
        <v>83</v>
      </c>
      <c r="W116" s="46">
        <f t="shared" si="37"/>
        <v>8.2468799999999995E-2</v>
      </c>
    </row>
    <row r="117" spans="1:23">
      <c r="A117" t="s">
        <v>183</v>
      </c>
      <c r="B117" t="s">
        <v>90</v>
      </c>
      <c r="C117" t="s">
        <v>140</v>
      </c>
      <c r="D117" t="s">
        <v>103</v>
      </c>
      <c r="E117" t="s">
        <v>4</v>
      </c>
      <c r="F117" s="28">
        <v>3.5000000000000003E-2</v>
      </c>
      <c r="G117" s="28">
        <v>200</v>
      </c>
      <c r="J117" t="str">
        <f t="shared" si="29"/>
        <v>KATTUPALLITANKERFOREIGNMooring</v>
      </c>
      <c r="K117" s="41" t="str">
        <f t="shared" si="30"/>
        <v>KATTUPALLI</v>
      </c>
      <c r="L117" s="41" t="str">
        <f t="shared" si="31"/>
        <v>TANKER</v>
      </c>
      <c r="M117" s="41" t="str">
        <f t="shared" si="32"/>
        <v>FOREIGN</v>
      </c>
      <c r="N117" s="41" t="str">
        <f t="shared" si="33"/>
        <v>Mooring</v>
      </c>
      <c r="O117">
        <f t="shared" si="38"/>
        <v>80000</v>
      </c>
      <c r="P117" s="40">
        <f>IFERROR(VLOOKUP(J117,'Tariff Master'!G:J,2,0),0)</f>
        <v>3.5000000000000003E-2</v>
      </c>
      <c r="Q117">
        <f t="shared" si="34"/>
        <v>1</v>
      </c>
      <c r="R117" s="45">
        <f t="shared" si="35"/>
        <v>2800.0000000000005</v>
      </c>
      <c r="S117" s="28">
        <f>IFERROR(VLOOKUP(J117,'Tariff Master'!G:J,3,0),0)</f>
        <v>200</v>
      </c>
      <c r="T117" s="28" t="str">
        <f>IFERROR(VLOOKUP(J117,'Tariff Master'!G:J,4,0),0)</f>
        <v>USD</v>
      </c>
      <c r="V117">
        <f t="shared" si="36"/>
        <v>83</v>
      </c>
      <c r="W117" s="46">
        <f t="shared" si="37"/>
        <v>2.3240000000000004E-2</v>
      </c>
    </row>
    <row r="118" spans="1:23">
      <c r="A118" t="s">
        <v>183</v>
      </c>
      <c r="B118" t="s">
        <v>90</v>
      </c>
      <c r="C118" t="s">
        <v>140</v>
      </c>
      <c r="D118" t="s">
        <v>103</v>
      </c>
      <c r="E118" t="s">
        <v>343</v>
      </c>
      <c r="F118" s="28">
        <v>600</v>
      </c>
      <c r="G118" s="28">
        <v>0</v>
      </c>
      <c r="J118" t="str">
        <f t="shared" si="29"/>
        <v>KATTUPALLITANKERFOREIGNPESP &amp; Dredging</v>
      </c>
      <c r="K118" s="41" t="str">
        <f t="shared" si="30"/>
        <v>KATTUPALLI</v>
      </c>
      <c r="L118" s="41" t="str">
        <f t="shared" si="31"/>
        <v>TANKER</v>
      </c>
      <c r="M118" s="41" t="str">
        <f t="shared" si="32"/>
        <v>FOREIGN</v>
      </c>
      <c r="N118" s="41" t="str">
        <f t="shared" si="33"/>
        <v>PESP &amp; Dredging</v>
      </c>
      <c r="O118">
        <f t="shared" si="38"/>
        <v>1</v>
      </c>
      <c r="P118" s="40">
        <f>IFERROR(VLOOKUP(J118,'Tariff Master'!G:J,2,0),0)</f>
        <v>800</v>
      </c>
      <c r="Q118">
        <f t="shared" si="34"/>
        <v>1</v>
      </c>
      <c r="R118" s="45">
        <f t="shared" si="35"/>
        <v>800</v>
      </c>
      <c r="S118" s="28">
        <f>IFERROR(VLOOKUP(J118,'Tariff Master'!G:J,3,0),0)</f>
        <v>0</v>
      </c>
      <c r="T118" s="28" t="str">
        <f>IFERROR(VLOOKUP(J118,'Tariff Master'!G:J,4,0),0)</f>
        <v>USD</v>
      </c>
      <c r="V118">
        <f t="shared" si="36"/>
        <v>83</v>
      </c>
      <c r="W118" s="46">
        <f t="shared" si="37"/>
        <v>6.6400000000000001E-3</v>
      </c>
    </row>
    <row r="119" spans="1:23">
      <c r="A119" t="s">
        <v>183</v>
      </c>
      <c r="B119" t="s">
        <v>90</v>
      </c>
      <c r="C119" t="s">
        <v>140</v>
      </c>
      <c r="D119" t="s">
        <v>103</v>
      </c>
      <c r="E119" t="s">
        <v>3</v>
      </c>
      <c r="F119" s="28">
        <v>0.70299999999999996</v>
      </c>
      <c r="G119" s="28">
        <v>3861</v>
      </c>
      <c r="J119" t="str">
        <f t="shared" si="29"/>
        <v>KATTUPALLITANKERFOREIGNPilotage</v>
      </c>
      <c r="K119" s="41" t="str">
        <f t="shared" si="30"/>
        <v>KATTUPALLI</v>
      </c>
      <c r="L119" s="41" t="str">
        <f t="shared" si="31"/>
        <v>TANKER</v>
      </c>
      <c r="M119" s="41" t="str">
        <f t="shared" si="32"/>
        <v>FOREIGN</v>
      </c>
      <c r="N119" s="41" t="str">
        <f t="shared" si="33"/>
        <v>Pilotage</v>
      </c>
      <c r="O119">
        <f t="shared" si="38"/>
        <v>80000</v>
      </c>
      <c r="P119" s="40">
        <f>IFERROR(VLOOKUP(J119,'Tariff Master'!G:J,2,0),0)</f>
        <v>0.92900000000000005</v>
      </c>
      <c r="Q119">
        <f t="shared" si="34"/>
        <v>1</v>
      </c>
      <c r="R119" s="45">
        <f t="shared" si="35"/>
        <v>74320</v>
      </c>
      <c r="S119" s="28">
        <f>IFERROR(VLOOKUP(J119,'Tariff Master'!G:J,3,0),0)</f>
        <v>3861</v>
      </c>
      <c r="T119" s="28" t="str">
        <f>IFERROR(VLOOKUP(J119,'Tariff Master'!G:J,4,0),0)</f>
        <v>USD</v>
      </c>
      <c r="V119">
        <f t="shared" si="36"/>
        <v>83</v>
      </c>
      <c r="W119" s="46">
        <f t="shared" si="37"/>
        <v>0.61685599999999996</v>
      </c>
    </row>
    <row r="120" spans="1:23">
      <c r="A120" t="s">
        <v>183</v>
      </c>
      <c r="B120" t="s">
        <v>90</v>
      </c>
      <c r="C120" t="s">
        <v>373</v>
      </c>
      <c r="D120" t="s">
        <v>138</v>
      </c>
      <c r="E120" t="s">
        <v>7</v>
      </c>
      <c r="F120" s="28">
        <v>0.13</v>
      </c>
      <c r="G120" s="28">
        <v>13420</v>
      </c>
      <c r="J120" t="str">
        <f t="shared" si="29"/>
        <v>KATTUPALLIBREAK BULKCOASTALBerth Hire</v>
      </c>
      <c r="K120" s="41" t="str">
        <f t="shared" si="30"/>
        <v>KATTUPALLI</v>
      </c>
      <c r="L120" s="41" t="str">
        <f t="shared" si="31"/>
        <v>BREAK BULK</v>
      </c>
      <c r="M120" s="41" t="str">
        <f t="shared" si="32"/>
        <v>COASTAL</v>
      </c>
      <c r="N120" s="41" t="str">
        <f t="shared" si="33"/>
        <v>Berth Hire</v>
      </c>
      <c r="O120">
        <f t="shared" si="38"/>
        <v>80000</v>
      </c>
      <c r="P120" s="40">
        <f>IFERROR(VLOOKUP(J120,'Tariff Master'!G:J,2,0),0)</f>
        <v>0.13</v>
      </c>
      <c r="Q120">
        <f t="shared" si="34"/>
        <v>23</v>
      </c>
      <c r="R120" s="45">
        <f t="shared" si="35"/>
        <v>239200</v>
      </c>
      <c r="S120" s="28">
        <f>IFERROR(VLOOKUP(J120,'Tariff Master'!G:J,3,0),0)</f>
        <v>13420</v>
      </c>
      <c r="T120" s="28" t="str">
        <f>IFERROR(VLOOKUP(J120,'Tariff Master'!G:J,4,0),0)</f>
        <v>INR</v>
      </c>
      <c r="V120">
        <f t="shared" si="36"/>
        <v>83</v>
      </c>
      <c r="W120" s="46">
        <f t="shared" si="37"/>
        <v>2.392E-2</v>
      </c>
    </row>
    <row r="121" spans="1:23">
      <c r="A121" t="s">
        <v>183</v>
      </c>
      <c r="B121" t="s">
        <v>90</v>
      </c>
      <c r="C121" t="s">
        <v>373</v>
      </c>
      <c r="D121" t="s">
        <v>138</v>
      </c>
      <c r="E121" t="s">
        <v>4</v>
      </c>
      <c r="F121" s="28">
        <v>3.5000000000000003E-2</v>
      </c>
      <c r="G121" s="28">
        <v>200</v>
      </c>
      <c r="J121" t="str">
        <f t="shared" si="29"/>
        <v>KATTUPALLIBREAK BULKCOASTALMooring</v>
      </c>
      <c r="K121" s="41" t="str">
        <f t="shared" si="30"/>
        <v>KATTUPALLI</v>
      </c>
      <c r="L121" s="41" t="str">
        <f t="shared" si="31"/>
        <v>BREAK BULK</v>
      </c>
      <c r="M121" s="41" t="str">
        <f t="shared" si="32"/>
        <v>COASTAL</v>
      </c>
      <c r="N121" s="41" t="str">
        <f t="shared" si="33"/>
        <v>Mooring</v>
      </c>
      <c r="O121">
        <f t="shared" si="38"/>
        <v>80000</v>
      </c>
      <c r="P121" s="40">
        <f>IFERROR(VLOOKUP(J121,'Tariff Master'!G:J,2,0),0)</f>
        <v>3.5000000000000003E-2</v>
      </c>
      <c r="Q121">
        <f t="shared" si="34"/>
        <v>1</v>
      </c>
      <c r="R121" s="45">
        <f t="shared" si="35"/>
        <v>2800.0000000000005</v>
      </c>
      <c r="S121" s="28">
        <f>IFERROR(VLOOKUP(J121,'Tariff Master'!G:J,3,0),0)</f>
        <v>200</v>
      </c>
      <c r="T121" s="28" t="str">
        <f>IFERROR(VLOOKUP(J121,'Tariff Master'!G:J,4,0),0)</f>
        <v>USD</v>
      </c>
      <c r="V121">
        <f t="shared" si="36"/>
        <v>83</v>
      </c>
      <c r="W121" s="46">
        <f t="shared" si="37"/>
        <v>2.3240000000000004E-2</v>
      </c>
    </row>
    <row r="122" spans="1:23">
      <c r="A122" t="s">
        <v>183</v>
      </c>
      <c r="B122" t="s">
        <v>90</v>
      </c>
      <c r="C122" t="s">
        <v>373</v>
      </c>
      <c r="D122" t="s">
        <v>138</v>
      </c>
      <c r="E122" t="s">
        <v>343</v>
      </c>
      <c r="F122" s="28">
        <v>600</v>
      </c>
      <c r="G122" s="28">
        <v>0</v>
      </c>
      <c r="J122" t="str">
        <f t="shared" si="29"/>
        <v>KATTUPALLIBREAK BULKCOASTALPESP &amp; Dredging</v>
      </c>
      <c r="K122" s="41" t="str">
        <f t="shared" si="30"/>
        <v>KATTUPALLI</v>
      </c>
      <c r="L122" s="41" t="str">
        <f t="shared" si="31"/>
        <v>BREAK BULK</v>
      </c>
      <c r="M122" s="41" t="str">
        <f t="shared" si="32"/>
        <v>COASTAL</v>
      </c>
      <c r="N122" s="41" t="str">
        <f t="shared" si="33"/>
        <v>PESP &amp; Dredging</v>
      </c>
      <c r="O122">
        <f t="shared" si="38"/>
        <v>1</v>
      </c>
      <c r="P122" s="40">
        <f>IFERROR(VLOOKUP(J122,'Tariff Master'!G:J,2,0),0)</f>
        <v>800</v>
      </c>
      <c r="Q122">
        <f t="shared" si="34"/>
        <v>1</v>
      </c>
      <c r="R122" s="45">
        <f t="shared" si="35"/>
        <v>800</v>
      </c>
      <c r="S122" s="28">
        <f>IFERROR(VLOOKUP(J122,'Tariff Master'!G:J,3,0),0)</f>
        <v>0</v>
      </c>
      <c r="T122" s="28" t="str">
        <f>IFERROR(VLOOKUP(J122,'Tariff Master'!G:J,4,0),0)</f>
        <v>USD</v>
      </c>
      <c r="V122">
        <f t="shared" si="36"/>
        <v>83</v>
      </c>
      <c r="W122" s="46">
        <f t="shared" si="37"/>
        <v>6.6400000000000001E-3</v>
      </c>
    </row>
    <row r="123" spans="1:23">
      <c r="A123" t="s">
        <v>183</v>
      </c>
      <c r="B123" t="s">
        <v>90</v>
      </c>
      <c r="C123" t="s">
        <v>373</v>
      </c>
      <c r="D123" t="s">
        <v>138</v>
      </c>
      <c r="E123" t="s">
        <v>3</v>
      </c>
      <c r="F123" s="28">
        <v>14.3</v>
      </c>
      <c r="G123" s="28">
        <v>42887</v>
      </c>
      <c r="J123" t="str">
        <f t="shared" si="29"/>
        <v>KATTUPALLIBREAK BULKCOASTALPilotage</v>
      </c>
      <c r="K123" s="41" t="str">
        <f t="shared" si="30"/>
        <v>KATTUPALLI</v>
      </c>
      <c r="L123" s="41" t="str">
        <f t="shared" si="31"/>
        <v>BREAK BULK</v>
      </c>
      <c r="M123" s="41" t="str">
        <f t="shared" si="32"/>
        <v>COASTAL</v>
      </c>
      <c r="N123" s="41" t="str">
        <f t="shared" si="33"/>
        <v>Pilotage</v>
      </c>
      <c r="O123">
        <f t="shared" si="38"/>
        <v>80000</v>
      </c>
      <c r="P123" s="40">
        <f>IFERROR(VLOOKUP(J123,'Tariff Master'!G:J,2,0),0)</f>
        <v>22.87</v>
      </c>
      <c r="Q123">
        <f t="shared" si="34"/>
        <v>1</v>
      </c>
      <c r="R123" s="45">
        <f t="shared" si="35"/>
        <v>1829600</v>
      </c>
      <c r="S123" s="28">
        <f>IFERROR(VLOOKUP(J123,'Tariff Master'!G:J,3,0),0)</f>
        <v>42887</v>
      </c>
      <c r="T123" s="28" t="str">
        <f>IFERROR(VLOOKUP(J123,'Tariff Master'!G:J,4,0),0)</f>
        <v>INR</v>
      </c>
      <c r="V123">
        <f t="shared" si="36"/>
        <v>83</v>
      </c>
      <c r="W123" s="46">
        <f t="shared" si="37"/>
        <v>0.18296000000000001</v>
      </c>
    </row>
    <row r="124" spans="1:23">
      <c r="A124" t="s">
        <v>183</v>
      </c>
      <c r="B124" t="s">
        <v>90</v>
      </c>
      <c r="C124" t="s">
        <v>373</v>
      </c>
      <c r="D124" t="s">
        <v>103</v>
      </c>
      <c r="E124" t="s">
        <v>7</v>
      </c>
      <c r="F124" s="28">
        <v>5.4000000000000003E-3</v>
      </c>
      <c r="G124" s="28">
        <v>805</v>
      </c>
      <c r="J124" t="str">
        <f t="shared" si="29"/>
        <v>KATTUPALLIBREAK BULKFOREIGNBerth Hire</v>
      </c>
      <c r="K124" s="41" t="str">
        <f t="shared" si="30"/>
        <v>KATTUPALLI</v>
      </c>
      <c r="L124" s="41" t="str">
        <f t="shared" si="31"/>
        <v>BREAK BULK</v>
      </c>
      <c r="M124" s="41" t="str">
        <f t="shared" si="32"/>
        <v>FOREIGN</v>
      </c>
      <c r="N124" s="41" t="str">
        <f t="shared" si="33"/>
        <v>Berth Hire</v>
      </c>
      <c r="O124">
        <f t="shared" si="38"/>
        <v>80000</v>
      </c>
      <c r="P124" s="40">
        <f>IFERROR(VLOOKUP(J124,'Tariff Master'!G:J,2,0),0)</f>
        <v>5.4000000000000003E-3</v>
      </c>
      <c r="Q124">
        <f t="shared" si="34"/>
        <v>23</v>
      </c>
      <c r="R124" s="45">
        <f t="shared" si="35"/>
        <v>9936</v>
      </c>
      <c r="S124" s="28">
        <f>IFERROR(VLOOKUP(J124,'Tariff Master'!G:J,3,0),0)</f>
        <v>805</v>
      </c>
      <c r="T124" s="28" t="str">
        <f>IFERROR(VLOOKUP(J124,'Tariff Master'!G:J,4,0),0)</f>
        <v>USD</v>
      </c>
      <c r="V124">
        <f t="shared" si="36"/>
        <v>83</v>
      </c>
      <c r="W124" s="46">
        <f t="shared" si="37"/>
        <v>8.2468799999999995E-2</v>
      </c>
    </row>
    <row r="125" spans="1:23">
      <c r="A125" t="s">
        <v>183</v>
      </c>
      <c r="B125" t="s">
        <v>90</v>
      </c>
      <c r="C125" t="s">
        <v>373</v>
      </c>
      <c r="D125" t="s">
        <v>103</v>
      </c>
      <c r="E125" t="s">
        <v>4</v>
      </c>
      <c r="F125" s="28">
        <v>3.5000000000000003E-2</v>
      </c>
      <c r="G125" s="28">
        <v>200</v>
      </c>
      <c r="J125" t="str">
        <f t="shared" si="29"/>
        <v>KATTUPALLIBREAK BULKFOREIGNMooring</v>
      </c>
      <c r="K125" s="41" t="str">
        <f t="shared" si="30"/>
        <v>KATTUPALLI</v>
      </c>
      <c r="L125" s="41" t="str">
        <f t="shared" si="31"/>
        <v>BREAK BULK</v>
      </c>
      <c r="M125" s="41" t="str">
        <f t="shared" si="32"/>
        <v>FOREIGN</v>
      </c>
      <c r="N125" s="41" t="str">
        <f t="shared" si="33"/>
        <v>Mooring</v>
      </c>
      <c r="O125">
        <f t="shared" si="38"/>
        <v>80000</v>
      </c>
      <c r="P125" s="40">
        <f>IFERROR(VLOOKUP(J125,'Tariff Master'!G:J,2,0),0)</f>
        <v>3.5000000000000003E-2</v>
      </c>
      <c r="Q125">
        <f t="shared" si="34"/>
        <v>1</v>
      </c>
      <c r="R125" s="45">
        <f t="shared" si="35"/>
        <v>2800.0000000000005</v>
      </c>
      <c r="S125" s="28">
        <f>IFERROR(VLOOKUP(J125,'Tariff Master'!G:J,3,0),0)</f>
        <v>200</v>
      </c>
      <c r="T125" s="28" t="str">
        <f>IFERROR(VLOOKUP(J125,'Tariff Master'!G:J,4,0),0)</f>
        <v>USD</v>
      </c>
      <c r="V125">
        <f t="shared" si="36"/>
        <v>83</v>
      </c>
      <c r="W125" s="46">
        <f t="shared" si="37"/>
        <v>2.3240000000000004E-2</v>
      </c>
    </row>
    <row r="126" spans="1:23">
      <c r="A126" t="s">
        <v>183</v>
      </c>
      <c r="B126" t="s">
        <v>90</v>
      </c>
      <c r="C126" t="s">
        <v>373</v>
      </c>
      <c r="D126" t="s">
        <v>103</v>
      </c>
      <c r="E126" t="s">
        <v>343</v>
      </c>
      <c r="F126" s="28">
        <v>600</v>
      </c>
      <c r="G126" s="28">
        <v>0</v>
      </c>
      <c r="J126" t="str">
        <f t="shared" si="29"/>
        <v>KATTUPALLIBREAK BULKFOREIGNPESP &amp; Dredging</v>
      </c>
      <c r="K126" s="41" t="str">
        <f t="shared" si="30"/>
        <v>KATTUPALLI</v>
      </c>
      <c r="L126" s="41" t="str">
        <f t="shared" si="31"/>
        <v>BREAK BULK</v>
      </c>
      <c r="M126" s="41" t="str">
        <f t="shared" si="32"/>
        <v>FOREIGN</v>
      </c>
      <c r="N126" s="41" t="str">
        <f t="shared" si="33"/>
        <v>PESP &amp; Dredging</v>
      </c>
      <c r="O126">
        <f t="shared" si="38"/>
        <v>1</v>
      </c>
      <c r="P126" s="40">
        <f>IFERROR(VLOOKUP(J126,'Tariff Master'!G:J,2,0),0)</f>
        <v>800</v>
      </c>
      <c r="Q126">
        <f t="shared" si="34"/>
        <v>1</v>
      </c>
      <c r="R126" s="45">
        <f t="shared" si="35"/>
        <v>800</v>
      </c>
      <c r="S126" s="28">
        <f>IFERROR(VLOOKUP(J126,'Tariff Master'!G:J,3,0),0)</f>
        <v>0</v>
      </c>
      <c r="T126" s="28" t="str">
        <f>IFERROR(VLOOKUP(J126,'Tariff Master'!G:J,4,0),0)</f>
        <v>USD</v>
      </c>
      <c r="V126">
        <f t="shared" si="36"/>
        <v>83</v>
      </c>
      <c r="W126" s="46">
        <f t="shared" si="37"/>
        <v>6.6400000000000001E-3</v>
      </c>
    </row>
    <row r="127" spans="1:23">
      <c r="A127" t="s">
        <v>183</v>
      </c>
      <c r="B127" t="s">
        <v>90</v>
      </c>
      <c r="C127" t="s">
        <v>373</v>
      </c>
      <c r="D127" t="s">
        <v>103</v>
      </c>
      <c r="E127" t="s">
        <v>3</v>
      </c>
      <c r="F127" s="28">
        <v>0.70299999999999996</v>
      </c>
      <c r="G127" s="28">
        <v>3861</v>
      </c>
      <c r="J127" t="str">
        <f t="shared" si="29"/>
        <v>KATTUPALLIBREAK BULKFOREIGNPilotage</v>
      </c>
      <c r="K127" s="41" t="str">
        <f t="shared" si="30"/>
        <v>KATTUPALLI</v>
      </c>
      <c r="L127" s="41" t="str">
        <f t="shared" si="31"/>
        <v>BREAK BULK</v>
      </c>
      <c r="M127" s="41" t="str">
        <f t="shared" si="32"/>
        <v>FOREIGN</v>
      </c>
      <c r="N127" s="41" t="str">
        <f t="shared" si="33"/>
        <v>Pilotage</v>
      </c>
      <c r="O127">
        <f t="shared" si="38"/>
        <v>80000</v>
      </c>
      <c r="P127" s="40">
        <f>IFERROR(VLOOKUP(J127,'Tariff Master'!G:J,2,0),0)</f>
        <v>0.92900000000000005</v>
      </c>
      <c r="Q127">
        <f t="shared" si="34"/>
        <v>1</v>
      </c>
      <c r="R127" s="45">
        <f t="shared" si="35"/>
        <v>74320</v>
      </c>
      <c r="S127" s="28">
        <f>IFERROR(VLOOKUP(J127,'Tariff Master'!G:J,3,0),0)</f>
        <v>3861</v>
      </c>
      <c r="T127" s="28" t="str">
        <f>IFERROR(VLOOKUP(J127,'Tariff Master'!G:J,4,0),0)</f>
        <v>USD</v>
      </c>
      <c r="V127">
        <f t="shared" si="36"/>
        <v>83</v>
      </c>
      <c r="W127" s="46">
        <f t="shared" si="37"/>
        <v>0.61685599999999996</v>
      </c>
    </row>
    <row r="128" spans="1:23">
      <c r="A128" t="s">
        <v>183</v>
      </c>
      <c r="B128" t="s">
        <v>74</v>
      </c>
      <c r="C128" t="s">
        <v>102</v>
      </c>
      <c r="D128" t="s">
        <v>103</v>
      </c>
      <c r="E128" t="s">
        <v>7</v>
      </c>
      <c r="F128" s="28">
        <v>9.8209999999999999E-3</v>
      </c>
      <c r="G128" s="28">
        <v>690</v>
      </c>
      <c r="J128" t="str">
        <f t="shared" si="29"/>
        <v>MUNDRACONTAINERFOREIGNBerth Hire</v>
      </c>
      <c r="K128" s="41" t="str">
        <f t="shared" si="30"/>
        <v>MUNDRA</v>
      </c>
      <c r="L128" s="41" t="str">
        <f t="shared" si="31"/>
        <v>CONTAINER</v>
      </c>
      <c r="M128" s="41" t="str">
        <f t="shared" si="32"/>
        <v>FOREIGN</v>
      </c>
      <c r="N128" s="41" t="str">
        <f t="shared" si="33"/>
        <v>Berth Hire</v>
      </c>
      <c r="O128">
        <f t="shared" si="38"/>
        <v>80000</v>
      </c>
      <c r="P128" s="40">
        <f>IFERROR(VLOOKUP(J128,'Tariff Master'!G:J,2,0),0)</f>
        <v>9.8209999999999999E-3</v>
      </c>
      <c r="Q128">
        <f t="shared" si="34"/>
        <v>23</v>
      </c>
      <c r="R128" s="45">
        <f t="shared" si="35"/>
        <v>18070.64</v>
      </c>
      <c r="S128" s="28">
        <f>IFERROR(VLOOKUP(J128,'Tariff Master'!G:J,3,0),0)</f>
        <v>690</v>
      </c>
      <c r="T128" s="28" t="str">
        <f>IFERROR(VLOOKUP(J128,'Tariff Master'!G:J,4,0),0)</f>
        <v>USD</v>
      </c>
      <c r="V128">
        <f t="shared" si="36"/>
        <v>83</v>
      </c>
      <c r="W128" s="46">
        <f t="shared" si="37"/>
        <v>0.14998631199999998</v>
      </c>
    </row>
    <row r="129" spans="1:23">
      <c r="A129" t="s">
        <v>183</v>
      </c>
      <c r="B129" t="s">
        <v>74</v>
      </c>
      <c r="C129" t="s">
        <v>102</v>
      </c>
      <c r="D129" t="s">
        <v>103</v>
      </c>
      <c r="E129" t="s">
        <v>4</v>
      </c>
      <c r="F129" s="28">
        <v>3.4720000000000001E-2</v>
      </c>
      <c r="G129" s="28">
        <v>200</v>
      </c>
      <c r="J129" t="str">
        <f t="shared" si="29"/>
        <v>MUNDRACONTAINERFOREIGNMooring</v>
      </c>
      <c r="K129" s="41" t="str">
        <f t="shared" si="30"/>
        <v>MUNDRA</v>
      </c>
      <c r="L129" s="41" t="str">
        <f t="shared" si="31"/>
        <v>CONTAINER</v>
      </c>
      <c r="M129" s="41" t="str">
        <f t="shared" si="32"/>
        <v>FOREIGN</v>
      </c>
      <c r="N129" s="41" t="str">
        <f t="shared" si="33"/>
        <v>Mooring</v>
      </c>
      <c r="O129">
        <f t="shared" si="38"/>
        <v>80000</v>
      </c>
      <c r="P129" s="40">
        <f>IFERROR(VLOOKUP(J129,'Tariff Master'!G:J,2,0),0)</f>
        <v>3.4720000000000001E-2</v>
      </c>
      <c r="Q129">
        <f t="shared" si="34"/>
        <v>1</v>
      </c>
      <c r="R129" s="45">
        <f t="shared" si="35"/>
        <v>2777.6</v>
      </c>
      <c r="S129" s="28">
        <f>IFERROR(VLOOKUP(J129,'Tariff Master'!G:J,3,0),0)</f>
        <v>200</v>
      </c>
      <c r="T129" s="28" t="str">
        <f>IFERROR(VLOOKUP(J129,'Tariff Master'!G:J,4,0),0)</f>
        <v>USD</v>
      </c>
      <c r="V129">
        <f t="shared" si="36"/>
        <v>83</v>
      </c>
      <c r="W129" s="46">
        <f t="shared" si="37"/>
        <v>2.3054079999999998E-2</v>
      </c>
    </row>
    <row r="130" spans="1:23">
      <c r="A130" t="s">
        <v>183</v>
      </c>
      <c r="B130" t="s">
        <v>74</v>
      </c>
      <c r="C130" t="s">
        <v>102</v>
      </c>
      <c r="D130" t="s">
        <v>103</v>
      </c>
      <c r="E130" t="s">
        <v>343</v>
      </c>
      <c r="F130" s="28">
        <v>600</v>
      </c>
      <c r="G130" s="28">
        <v>0</v>
      </c>
      <c r="J130" t="str">
        <f t="shared" si="29"/>
        <v>MUNDRACONTAINERFOREIGNPESP &amp; Dredging</v>
      </c>
      <c r="K130" s="41" t="str">
        <f t="shared" si="30"/>
        <v>MUNDRA</v>
      </c>
      <c r="L130" s="41" t="str">
        <f t="shared" si="31"/>
        <v>CONTAINER</v>
      </c>
      <c r="M130" s="41" t="str">
        <f t="shared" si="32"/>
        <v>FOREIGN</v>
      </c>
      <c r="N130" s="41" t="str">
        <f t="shared" si="33"/>
        <v>PESP &amp; Dredging</v>
      </c>
      <c r="O130">
        <f t="shared" si="38"/>
        <v>1</v>
      </c>
      <c r="P130" s="40">
        <f>IFERROR(VLOOKUP(J130,'Tariff Master'!G:J,2,0),0)</f>
        <v>0</v>
      </c>
      <c r="Q130">
        <f t="shared" si="34"/>
        <v>1</v>
      </c>
      <c r="R130" s="45">
        <f t="shared" si="35"/>
        <v>0</v>
      </c>
      <c r="S130" s="28">
        <f>IFERROR(VLOOKUP(J130,'Tariff Master'!G:J,3,0),0)</f>
        <v>0</v>
      </c>
      <c r="T130" s="28" t="str">
        <f>IFERROR(VLOOKUP(J130,'Tariff Master'!G:J,4,0),0)</f>
        <v>USD</v>
      </c>
      <c r="V130">
        <f t="shared" si="36"/>
        <v>83</v>
      </c>
      <c r="W130" s="46">
        <f t="shared" si="37"/>
        <v>0</v>
      </c>
    </row>
    <row r="131" spans="1:23">
      <c r="A131" t="s">
        <v>183</v>
      </c>
      <c r="B131" t="s">
        <v>74</v>
      </c>
      <c r="C131" t="s">
        <v>102</v>
      </c>
      <c r="D131" t="s">
        <v>103</v>
      </c>
      <c r="E131" t="s">
        <v>3</v>
      </c>
      <c r="F131" s="28">
        <v>0.96704599999999996</v>
      </c>
      <c r="G131" s="28">
        <v>15370</v>
      </c>
      <c r="J131" t="str">
        <f t="shared" si="29"/>
        <v>MUNDRACONTAINERFOREIGNPilotage</v>
      </c>
      <c r="K131" s="41" t="str">
        <f t="shared" si="30"/>
        <v>MUNDRA</v>
      </c>
      <c r="L131" s="41" t="str">
        <f t="shared" si="31"/>
        <v>CONTAINER</v>
      </c>
      <c r="M131" s="41" t="str">
        <f t="shared" si="32"/>
        <v>FOREIGN</v>
      </c>
      <c r="N131" s="41" t="str">
        <f t="shared" si="33"/>
        <v>Pilotage</v>
      </c>
      <c r="O131">
        <f t="shared" si="38"/>
        <v>80000</v>
      </c>
      <c r="P131" s="40">
        <f>IFERROR(VLOOKUP(J131,'Tariff Master'!G:J,2,0),0)</f>
        <v>0.96704599999999996</v>
      </c>
      <c r="Q131">
        <f t="shared" si="34"/>
        <v>1</v>
      </c>
      <c r="R131" s="45">
        <f t="shared" si="35"/>
        <v>77363.679999999993</v>
      </c>
      <c r="S131" s="28">
        <f>IFERROR(VLOOKUP(J131,'Tariff Master'!G:J,3,0),0)</f>
        <v>15370</v>
      </c>
      <c r="T131" s="28" t="str">
        <f>IFERROR(VLOOKUP(J131,'Tariff Master'!G:J,4,0),0)</f>
        <v>USD</v>
      </c>
      <c r="V131">
        <f t="shared" si="36"/>
        <v>83</v>
      </c>
      <c r="W131" s="46">
        <f t="shared" si="37"/>
        <v>0.6421185439999999</v>
      </c>
    </row>
    <row r="132" spans="1:23">
      <c r="A132" t="s">
        <v>183</v>
      </c>
      <c r="B132" t="s">
        <v>74</v>
      </c>
      <c r="C132" t="s">
        <v>102</v>
      </c>
      <c r="D132" t="s">
        <v>103</v>
      </c>
      <c r="E132" t="s">
        <v>0</v>
      </c>
      <c r="F132" s="28">
        <v>6.5016000000000004E-2</v>
      </c>
      <c r="G132" s="28">
        <v>330</v>
      </c>
      <c r="J132" t="str">
        <f t="shared" si="29"/>
        <v>MUNDRACONTAINERFOREIGNPort Dues</v>
      </c>
      <c r="K132" s="41" t="str">
        <f t="shared" si="30"/>
        <v>MUNDRA</v>
      </c>
      <c r="L132" s="41" t="str">
        <f t="shared" si="31"/>
        <v>CONTAINER</v>
      </c>
      <c r="M132" s="41" t="str">
        <f t="shared" si="32"/>
        <v>FOREIGN</v>
      </c>
      <c r="N132" s="41" t="str">
        <f t="shared" si="33"/>
        <v>Port Dues</v>
      </c>
      <c r="O132">
        <f t="shared" si="38"/>
        <v>80000</v>
      </c>
      <c r="P132" s="40">
        <f>IFERROR(VLOOKUP(J132,'Tariff Master'!G:J,2,0),0)</f>
        <v>6.5016000000000004E-2</v>
      </c>
      <c r="Q132">
        <f t="shared" si="34"/>
        <v>1</v>
      </c>
      <c r="R132" s="45">
        <f t="shared" si="35"/>
        <v>5201.2800000000007</v>
      </c>
      <c r="S132" s="28">
        <f>IFERROR(VLOOKUP(J132,'Tariff Master'!G:J,3,0),0)</f>
        <v>330</v>
      </c>
      <c r="T132" s="28" t="str">
        <f>IFERROR(VLOOKUP(J132,'Tariff Master'!G:J,4,0),0)</f>
        <v>USD</v>
      </c>
      <c r="V132">
        <f t="shared" si="36"/>
        <v>83</v>
      </c>
      <c r="W132" s="46">
        <f t="shared" si="37"/>
        <v>4.3170624000000005E-2</v>
      </c>
    </row>
    <row r="133" spans="1:23">
      <c r="A133" t="s">
        <v>183</v>
      </c>
      <c r="B133" t="s">
        <v>74</v>
      </c>
      <c r="C133" t="s">
        <v>355</v>
      </c>
      <c r="D133" t="s">
        <v>103</v>
      </c>
      <c r="E133" t="s">
        <v>7</v>
      </c>
      <c r="F133" s="28">
        <v>9.8209999999999999E-3</v>
      </c>
      <c r="G133" s="28">
        <v>690</v>
      </c>
      <c r="J133" t="str">
        <f t="shared" si="29"/>
        <v>MUNDRADRY BULKFOREIGNBerth Hire</v>
      </c>
      <c r="K133" s="41" t="str">
        <f t="shared" si="30"/>
        <v>MUNDRA</v>
      </c>
      <c r="L133" s="41" t="str">
        <f t="shared" si="31"/>
        <v>DRY BULK</v>
      </c>
      <c r="M133" s="41" t="str">
        <f t="shared" si="32"/>
        <v>FOREIGN</v>
      </c>
      <c r="N133" s="41" t="str">
        <f t="shared" si="33"/>
        <v>Berth Hire</v>
      </c>
      <c r="O133">
        <f t="shared" si="38"/>
        <v>80000</v>
      </c>
      <c r="P133" s="40">
        <f>IFERROR(VLOOKUP(J133,'Tariff Master'!G:J,2,0),0)</f>
        <v>9.8209999999999999E-3</v>
      </c>
      <c r="Q133">
        <f t="shared" si="34"/>
        <v>23</v>
      </c>
      <c r="R133" s="45">
        <f t="shared" si="35"/>
        <v>18070.64</v>
      </c>
      <c r="S133" s="28">
        <f>IFERROR(VLOOKUP(J133,'Tariff Master'!G:J,3,0),0)</f>
        <v>690</v>
      </c>
      <c r="T133" s="28" t="str">
        <f>IFERROR(VLOOKUP(J133,'Tariff Master'!G:J,4,0),0)</f>
        <v>USD</v>
      </c>
      <c r="V133">
        <f t="shared" si="36"/>
        <v>83</v>
      </c>
      <c r="W133" s="46">
        <f t="shared" si="37"/>
        <v>0.14998631199999998</v>
      </c>
    </row>
    <row r="134" spans="1:23">
      <c r="A134" t="s">
        <v>183</v>
      </c>
      <c r="B134" t="s">
        <v>74</v>
      </c>
      <c r="C134" t="s">
        <v>355</v>
      </c>
      <c r="D134" t="s">
        <v>103</v>
      </c>
      <c r="E134" t="s">
        <v>4</v>
      </c>
      <c r="F134" s="28">
        <v>3.4720000000000001E-2</v>
      </c>
      <c r="G134" s="28">
        <v>200</v>
      </c>
      <c r="J134" t="str">
        <f t="shared" si="29"/>
        <v>MUNDRADRY BULKFOREIGNMooring</v>
      </c>
      <c r="K134" s="41" t="str">
        <f t="shared" si="30"/>
        <v>MUNDRA</v>
      </c>
      <c r="L134" s="41" t="str">
        <f t="shared" si="31"/>
        <v>DRY BULK</v>
      </c>
      <c r="M134" s="41" t="str">
        <f t="shared" si="32"/>
        <v>FOREIGN</v>
      </c>
      <c r="N134" s="41" t="str">
        <f t="shared" si="33"/>
        <v>Mooring</v>
      </c>
      <c r="O134">
        <f t="shared" si="38"/>
        <v>80000</v>
      </c>
      <c r="P134" s="40">
        <f>IFERROR(VLOOKUP(J134,'Tariff Master'!G:J,2,0),0)</f>
        <v>3.4720000000000001E-2</v>
      </c>
      <c r="Q134">
        <f t="shared" si="34"/>
        <v>1</v>
      </c>
      <c r="R134" s="45">
        <f t="shared" si="35"/>
        <v>2777.6</v>
      </c>
      <c r="S134" s="28">
        <f>IFERROR(VLOOKUP(J134,'Tariff Master'!G:J,3,0),0)</f>
        <v>200</v>
      </c>
      <c r="T134" s="28" t="str">
        <f>IFERROR(VLOOKUP(J134,'Tariff Master'!G:J,4,0),0)</f>
        <v>USD</v>
      </c>
      <c r="V134">
        <f t="shared" si="36"/>
        <v>83</v>
      </c>
      <c r="W134" s="46">
        <f t="shared" si="37"/>
        <v>2.3054079999999998E-2</v>
      </c>
    </row>
    <row r="135" spans="1:23">
      <c r="A135" t="s">
        <v>183</v>
      </c>
      <c r="B135" t="s">
        <v>74</v>
      </c>
      <c r="C135" t="s">
        <v>355</v>
      </c>
      <c r="D135" t="s">
        <v>103</v>
      </c>
      <c r="E135" t="s">
        <v>343</v>
      </c>
      <c r="F135" s="28">
        <v>600</v>
      </c>
      <c r="G135" s="28">
        <v>0</v>
      </c>
      <c r="J135" t="str">
        <f t="shared" si="29"/>
        <v>MUNDRADRY BULKFOREIGNPESP &amp; Dredging</v>
      </c>
      <c r="K135" s="41" t="str">
        <f t="shared" si="30"/>
        <v>MUNDRA</v>
      </c>
      <c r="L135" s="41" t="str">
        <f t="shared" si="31"/>
        <v>DRY BULK</v>
      </c>
      <c r="M135" s="41" t="str">
        <f t="shared" si="32"/>
        <v>FOREIGN</v>
      </c>
      <c r="N135" s="41" t="str">
        <f t="shared" si="33"/>
        <v>PESP &amp; Dredging</v>
      </c>
      <c r="O135">
        <f t="shared" si="38"/>
        <v>1</v>
      </c>
      <c r="P135" s="40">
        <f>IFERROR(VLOOKUP(J135,'Tariff Master'!G:J,2,0),0)</f>
        <v>800</v>
      </c>
      <c r="Q135">
        <f t="shared" si="34"/>
        <v>1</v>
      </c>
      <c r="R135" s="45">
        <f t="shared" si="35"/>
        <v>800</v>
      </c>
      <c r="S135" s="28">
        <f>IFERROR(VLOOKUP(J135,'Tariff Master'!G:J,3,0),0)</f>
        <v>0</v>
      </c>
      <c r="T135" s="28" t="str">
        <f>IFERROR(VLOOKUP(J135,'Tariff Master'!G:J,4,0),0)</f>
        <v>USD</v>
      </c>
      <c r="V135">
        <f t="shared" si="36"/>
        <v>83</v>
      </c>
      <c r="W135" s="46">
        <f t="shared" si="37"/>
        <v>6.6400000000000001E-3</v>
      </c>
    </row>
    <row r="136" spans="1:23">
      <c r="A136" t="s">
        <v>183</v>
      </c>
      <c r="B136" t="s">
        <v>74</v>
      </c>
      <c r="C136" t="s">
        <v>355</v>
      </c>
      <c r="D136" t="s">
        <v>103</v>
      </c>
      <c r="E136" t="s">
        <v>3</v>
      </c>
      <c r="F136" s="28">
        <v>0.96704599999999996</v>
      </c>
      <c r="G136" s="28">
        <v>15370</v>
      </c>
      <c r="J136" t="str">
        <f t="shared" si="29"/>
        <v>MUNDRADRY BULKFOREIGNPilotage</v>
      </c>
      <c r="K136" s="41" t="str">
        <f t="shared" si="30"/>
        <v>MUNDRA</v>
      </c>
      <c r="L136" s="41" t="str">
        <f t="shared" si="31"/>
        <v>DRY BULK</v>
      </c>
      <c r="M136" s="41" t="str">
        <f t="shared" si="32"/>
        <v>FOREIGN</v>
      </c>
      <c r="N136" s="41" t="str">
        <f t="shared" si="33"/>
        <v>Pilotage</v>
      </c>
      <c r="O136">
        <f t="shared" si="38"/>
        <v>80000</v>
      </c>
      <c r="P136" s="40">
        <f>IFERROR(VLOOKUP(J136,'Tariff Master'!G:J,2,0),0)</f>
        <v>0.96704599999999996</v>
      </c>
      <c r="Q136">
        <f t="shared" si="34"/>
        <v>1</v>
      </c>
      <c r="R136" s="45">
        <f t="shared" si="35"/>
        <v>77363.679999999993</v>
      </c>
      <c r="S136" s="28">
        <f>IFERROR(VLOOKUP(J136,'Tariff Master'!G:J,3,0),0)</f>
        <v>15370</v>
      </c>
      <c r="T136" s="28" t="str">
        <f>IFERROR(VLOOKUP(J136,'Tariff Master'!G:J,4,0),0)</f>
        <v>USD</v>
      </c>
      <c r="V136">
        <f t="shared" si="36"/>
        <v>83</v>
      </c>
      <c r="W136" s="46">
        <f t="shared" si="37"/>
        <v>0.6421185439999999</v>
      </c>
    </row>
    <row r="137" spans="1:23">
      <c r="A137" t="s">
        <v>183</v>
      </c>
      <c r="B137" t="s">
        <v>74</v>
      </c>
      <c r="C137" t="s">
        <v>355</v>
      </c>
      <c r="D137" t="s">
        <v>103</v>
      </c>
      <c r="E137" t="s">
        <v>0</v>
      </c>
      <c r="F137" s="28">
        <v>6.5016000000000004E-2</v>
      </c>
      <c r="G137" s="28">
        <v>330</v>
      </c>
      <c r="J137" t="str">
        <f t="shared" si="29"/>
        <v>MUNDRADRY BULKFOREIGNPort Dues</v>
      </c>
      <c r="K137" s="41" t="str">
        <f t="shared" si="30"/>
        <v>MUNDRA</v>
      </c>
      <c r="L137" s="41" t="str">
        <f t="shared" si="31"/>
        <v>DRY BULK</v>
      </c>
      <c r="M137" s="41" t="str">
        <f t="shared" si="32"/>
        <v>FOREIGN</v>
      </c>
      <c r="N137" s="41" t="str">
        <f t="shared" si="33"/>
        <v>Port Dues</v>
      </c>
      <c r="O137">
        <f t="shared" si="38"/>
        <v>80000</v>
      </c>
      <c r="P137" s="40">
        <f>IFERROR(VLOOKUP(J137,'Tariff Master'!G:J,2,0),0)</f>
        <v>6.5016000000000004E-2</v>
      </c>
      <c r="Q137">
        <f t="shared" si="34"/>
        <v>1</v>
      </c>
      <c r="R137" s="45">
        <f t="shared" si="35"/>
        <v>5201.2800000000007</v>
      </c>
      <c r="S137" s="28">
        <f>IFERROR(VLOOKUP(J137,'Tariff Master'!G:J,3,0),0)</f>
        <v>330</v>
      </c>
      <c r="T137" s="28" t="str">
        <f>IFERROR(VLOOKUP(J137,'Tariff Master'!G:J,4,0),0)</f>
        <v>USD</v>
      </c>
      <c r="V137">
        <f t="shared" si="36"/>
        <v>83</v>
      </c>
      <c r="W137" s="46">
        <f t="shared" si="37"/>
        <v>4.3170624000000005E-2</v>
      </c>
    </row>
    <row r="138" spans="1:23">
      <c r="A138" t="s">
        <v>183</v>
      </c>
      <c r="B138" t="s">
        <v>74</v>
      </c>
      <c r="C138" t="s">
        <v>140</v>
      </c>
      <c r="D138" t="s">
        <v>103</v>
      </c>
      <c r="E138" t="s">
        <v>7</v>
      </c>
      <c r="F138" s="28">
        <v>9.8209999999999999E-3</v>
      </c>
      <c r="G138" s="28">
        <v>690</v>
      </c>
      <c r="J138" t="str">
        <f t="shared" si="29"/>
        <v>MUNDRATANKERFOREIGNBerth Hire</v>
      </c>
      <c r="K138" s="41" t="str">
        <f t="shared" si="30"/>
        <v>MUNDRA</v>
      </c>
      <c r="L138" s="41" t="str">
        <f t="shared" si="31"/>
        <v>TANKER</v>
      </c>
      <c r="M138" s="41" t="str">
        <f t="shared" si="32"/>
        <v>FOREIGN</v>
      </c>
      <c r="N138" s="41" t="str">
        <f t="shared" si="33"/>
        <v>Berth Hire</v>
      </c>
      <c r="O138">
        <f t="shared" si="38"/>
        <v>80000</v>
      </c>
      <c r="P138" s="40">
        <f>IFERROR(VLOOKUP(J138,'Tariff Master'!G:J,2,0),0)</f>
        <v>9.8209999999999999E-3</v>
      </c>
      <c r="Q138">
        <f t="shared" si="34"/>
        <v>23</v>
      </c>
      <c r="R138" s="45">
        <f t="shared" si="35"/>
        <v>18070.64</v>
      </c>
      <c r="S138" s="28">
        <f>IFERROR(VLOOKUP(J138,'Tariff Master'!G:J,3,0),0)</f>
        <v>690</v>
      </c>
      <c r="T138" s="28" t="str">
        <f>IFERROR(VLOOKUP(J138,'Tariff Master'!G:J,4,0),0)</f>
        <v>USD</v>
      </c>
      <c r="V138">
        <f t="shared" si="36"/>
        <v>83</v>
      </c>
      <c r="W138" s="46">
        <f t="shared" si="37"/>
        <v>0.14998631199999998</v>
      </c>
    </row>
    <row r="139" spans="1:23">
      <c r="A139" t="s">
        <v>183</v>
      </c>
      <c r="B139" t="s">
        <v>74</v>
      </c>
      <c r="C139" t="s">
        <v>140</v>
      </c>
      <c r="D139" t="s">
        <v>103</v>
      </c>
      <c r="E139" t="s">
        <v>4</v>
      </c>
      <c r="F139" s="28">
        <v>3.4720000000000001E-2</v>
      </c>
      <c r="G139" s="28">
        <v>200</v>
      </c>
      <c r="J139" t="str">
        <f t="shared" si="29"/>
        <v>MUNDRATANKERFOREIGNMooring</v>
      </c>
      <c r="K139" s="41" t="str">
        <f t="shared" si="30"/>
        <v>MUNDRA</v>
      </c>
      <c r="L139" s="41" t="str">
        <f t="shared" si="31"/>
        <v>TANKER</v>
      </c>
      <c r="M139" s="41" t="str">
        <f t="shared" si="32"/>
        <v>FOREIGN</v>
      </c>
      <c r="N139" s="41" t="str">
        <f t="shared" si="33"/>
        <v>Mooring</v>
      </c>
      <c r="O139">
        <f t="shared" si="38"/>
        <v>80000</v>
      </c>
      <c r="P139" s="40">
        <f>IFERROR(VLOOKUP(J139,'Tariff Master'!G:J,2,0),0)</f>
        <v>3.4720000000000001E-2</v>
      </c>
      <c r="Q139">
        <f t="shared" si="34"/>
        <v>1</v>
      </c>
      <c r="R139" s="45">
        <f t="shared" si="35"/>
        <v>2777.6</v>
      </c>
      <c r="S139" s="28">
        <f>IFERROR(VLOOKUP(J139,'Tariff Master'!G:J,3,0),0)</f>
        <v>200</v>
      </c>
      <c r="T139" s="28" t="str">
        <f>IFERROR(VLOOKUP(J139,'Tariff Master'!G:J,4,0),0)</f>
        <v>USD</v>
      </c>
      <c r="V139">
        <f t="shared" si="36"/>
        <v>83</v>
      </c>
      <c r="W139" s="46">
        <f t="shared" si="37"/>
        <v>2.3054079999999998E-2</v>
      </c>
    </row>
    <row r="140" spans="1:23">
      <c r="A140" t="s">
        <v>183</v>
      </c>
      <c r="B140" t="s">
        <v>74</v>
      </c>
      <c r="C140" t="s">
        <v>140</v>
      </c>
      <c r="D140" t="s">
        <v>103</v>
      </c>
      <c r="E140" t="s">
        <v>343</v>
      </c>
      <c r="F140" s="28">
        <v>600</v>
      </c>
      <c r="G140" s="28">
        <v>0</v>
      </c>
      <c r="J140" t="str">
        <f t="shared" si="29"/>
        <v>MUNDRATANKERFOREIGNPESP &amp; Dredging</v>
      </c>
      <c r="K140" s="41" t="str">
        <f t="shared" si="30"/>
        <v>MUNDRA</v>
      </c>
      <c r="L140" s="41" t="str">
        <f t="shared" si="31"/>
        <v>TANKER</v>
      </c>
      <c r="M140" s="41" t="str">
        <f t="shared" si="32"/>
        <v>FOREIGN</v>
      </c>
      <c r="N140" s="41" t="str">
        <f t="shared" si="33"/>
        <v>PESP &amp; Dredging</v>
      </c>
      <c r="O140">
        <f t="shared" si="38"/>
        <v>1</v>
      </c>
      <c r="P140" s="40">
        <f>IFERROR(VLOOKUP(J140,'Tariff Master'!G:J,2,0),0)</f>
        <v>800</v>
      </c>
      <c r="Q140">
        <f t="shared" si="34"/>
        <v>1</v>
      </c>
      <c r="R140" s="45">
        <f t="shared" si="35"/>
        <v>800</v>
      </c>
      <c r="S140" s="28">
        <f>IFERROR(VLOOKUP(J140,'Tariff Master'!G:J,3,0),0)</f>
        <v>0</v>
      </c>
      <c r="T140" s="28" t="str">
        <f>IFERROR(VLOOKUP(J140,'Tariff Master'!G:J,4,0),0)</f>
        <v>USD</v>
      </c>
      <c r="V140">
        <f t="shared" si="36"/>
        <v>83</v>
      </c>
      <c r="W140" s="46">
        <f t="shared" si="37"/>
        <v>6.6400000000000001E-3</v>
      </c>
    </row>
    <row r="141" spans="1:23">
      <c r="A141" t="s">
        <v>183</v>
      </c>
      <c r="B141" t="s">
        <v>74</v>
      </c>
      <c r="C141" t="s">
        <v>140</v>
      </c>
      <c r="D141" t="s">
        <v>103</v>
      </c>
      <c r="E141" t="s">
        <v>3</v>
      </c>
      <c r="F141" s="28">
        <v>0.96704599999999996</v>
      </c>
      <c r="G141" s="28">
        <v>15370</v>
      </c>
      <c r="J141" t="str">
        <f t="shared" si="29"/>
        <v>MUNDRATANKERFOREIGNPilotage</v>
      </c>
      <c r="K141" s="41" t="str">
        <f t="shared" si="30"/>
        <v>MUNDRA</v>
      </c>
      <c r="L141" s="41" t="str">
        <f t="shared" si="31"/>
        <v>TANKER</v>
      </c>
      <c r="M141" s="41" t="str">
        <f t="shared" si="32"/>
        <v>FOREIGN</v>
      </c>
      <c r="N141" s="41" t="str">
        <f t="shared" si="33"/>
        <v>Pilotage</v>
      </c>
      <c r="O141">
        <f t="shared" si="38"/>
        <v>80000</v>
      </c>
      <c r="P141" s="40">
        <f>IFERROR(VLOOKUP(J141,'Tariff Master'!G:J,2,0),0)</f>
        <v>0.96704599999999996</v>
      </c>
      <c r="Q141">
        <f t="shared" ref="Q141:Q172" si="39">IF(N141="Berth Hire",$X$2,1)</f>
        <v>1</v>
      </c>
      <c r="R141" s="45">
        <f t="shared" ref="R141" si="40">MAX(O141*P141*IF(N141="Berth Hire",Q141,1),S141)</f>
        <v>77363.679999999993</v>
      </c>
      <c r="S141" s="28">
        <f>IFERROR(VLOOKUP(J141,'Tariff Master'!G:J,3,0),0)</f>
        <v>15370</v>
      </c>
      <c r="T141" s="28" t="str">
        <f>IFERROR(VLOOKUP(J141,'Tariff Master'!G:J,4,0),0)</f>
        <v>USD</v>
      </c>
      <c r="V141">
        <f t="shared" ref="V141:V172" si="41">$X$3</f>
        <v>83</v>
      </c>
      <c r="W141" s="46">
        <f t="shared" ref="W141" si="42">R141*IF(T141="USD",V141,1)/10^7</f>
        <v>0.6421185439999999</v>
      </c>
    </row>
    <row r="142" spans="1:23">
      <c r="A142" t="s">
        <v>183</v>
      </c>
      <c r="B142" t="s">
        <v>74</v>
      </c>
      <c r="C142" t="s">
        <v>140</v>
      </c>
      <c r="D142" t="s">
        <v>103</v>
      </c>
      <c r="E142" t="s">
        <v>0</v>
      </c>
      <c r="F142" s="28">
        <v>6.5016000000000004E-2</v>
      </c>
      <c r="G142" s="28">
        <v>330</v>
      </c>
      <c r="J142" t="str">
        <f t="shared" ref="J142:J180" si="43">K142&amp;L142&amp;M142&amp;N142</f>
        <v>MUNDRATANKERFOREIGNPort Dues</v>
      </c>
      <c r="K142" s="41" t="str">
        <f t="shared" ref="K142:K180" si="44">B142</f>
        <v>MUNDRA</v>
      </c>
      <c r="L142" s="41" t="str">
        <f t="shared" ref="L142:L180" si="45">C142</f>
        <v>TANKER</v>
      </c>
      <c r="M142" s="41" t="str">
        <f t="shared" ref="M142:M180" si="46">D142</f>
        <v>FOREIGN</v>
      </c>
      <c r="N142" s="41" t="str">
        <f t="shared" ref="N142:N180" si="47">E142</f>
        <v>Port Dues</v>
      </c>
      <c r="O142" s="134">
        <f t="shared" si="38"/>
        <v>80000</v>
      </c>
      <c r="P142" s="40">
        <f>IFERROR(VLOOKUP(J142,'Tariff Master'!G:J,2,0),0)</f>
        <v>6.5016000000000004E-2</v>
      </c>
      <c r="Q142" s="40">
        <f t="shared" si="39"/>
        <v>1</v>
      </c>
      <c r="R142" s="45">
        <f t="shared" ref="R142:R180" si="48">MAX(O142*P142*IF(N142="Berth Hire",Q142,1),S142)</f>
        <v>5201.2800000000007</v>
      </c>
      <c r="S142" s="28">
        <f>IFERROR(VLOOKUP(J142,'Tariff Master'!G:J,3,0),0)</f>
        <v>330</v>
      </c>
      <c r="T142" s="28" t="str">
        <f>IFERROR(VLOOKUP(J142,'Tariff Master'!G:J,4,0),0)</f>
        <v>USD</v>
      </c>
      <c r="V142">
        <f t="shared" si="41"/>
        <v>83</v>
      </c>
      <c r="W142" s="46">
        <f t="shared" ref="W142:W180" si="49">R142*IF(T142="USD",V142,1)/10^7</f>
        <v>4.3170624000000005E-2</v>
      </c>
    </row>
    <row r="143" spans="1:23">
      <c r="A143" t="s">
        <v>183</v>
      </c>
      <c r="B143" t="s">
        <v>74</v>
      </c>
      <c r="C143" t="s">
        <v>373</v>
      </c>
      <c r="D143" t="s">
        <v>103</v>
      </c>
      <c r="E143" t="s">
        <v>7</v>
      </c>
      <c r="F143" s="28">
        <v>9.8209999999999999E-3</v>
      </c>
      <c r="G143" s="28">
        <v>690</v>
      </c>
      <c r="J143" t="str">
        <f t="shared" si="43"/>
        <v>MUNDRABREAK BULKFOREIGNBerth Hire</v>
      </c>
      <c r="K143" s="41" t="str">
        <f t="shared" si="44"/>
        <v>MUNDRA</v>
      </c>
      <c r="L143" s="41" t="str">
        <f t="shared" si="45"/>
        <v>BREAK BULK</v>
      </c>
      <c r="M143" s="41" t="str">
        <f t="shared" si="46"/>
        <v>FOREIGN</v>
      </c>
      <c r="N143" s="41" t="str">
        <f t="shared" si="47"/>
        <v>Berth Hire</v>
      </c>
      <c r="O143" s="134">
        <f t="shared" si="38"/>
        <v>80000</v>
      </c>
      <c r="P143" s="40">
        <f>IFERROR(VLOOKUP(J143,'Tariff Master'!G:J,2,0),0)</f>
        <v>9.8209999999999999E-3</v>
      </c>
      <c r="Q143" s="40">
        <f t="shared" si="39"/>
        <v>23</v>
      </c>
      <c r="R143" s="45">
        <f t="shared" si="48"/>
        <v>18070.64</v>
      </c>
      <c r="S143" s="28">
        <f>IFERROR(VLOOKUP(J143,'Tariff Master'!G:J,3,0),0)</f>
        <v>690</v>
      </c>
      <c r="T143" s="28" t="str">
        <f>IFERROR(VLOOKUP(J143,'Tariff Master'!G:J,4,0),0)</f>
        <v>USD</v>
      </c>
      <c r="V143">
        <f t="shared" si="41"/>
        <v>83</v>
      </c>
      <c r="W143" s="46">
        <f t="shared" si="49"/>
        <v>0.14998631199999998</v>
      </c>
    </row>
    <row r="144" spans="1:23">
      <c r="A144" t="s">
        <v>183</v>
      </c>
      <c r="B144" t="s">
        <v>74</v>
      </c>
      <c r="C144" t="s">
        <v>373</v>
      </c>
      <c r="D144" t="s">
        <v>103</v>
      </c>
      <c r="E144" t="s">
        <v>4</v>
      </c>
      <c r="F144" s="28">
        <v>3.4720000000000001E-2</v>
      </c>
      <c r="G144" s="28">
        <v>200</v>
      </c>
      <c r="J144" t="str">
        <f t="shared" si="43"/>
        <v>MUNDRABREAK BULKFOREIGNMooring</v>
      </c>
      <c r="K144" s="41" t="str">
        <f t="shared" si="44"/>
        <v>MUNDRA</v>
      </c>
      <c r="L144" s="41" t="str">
        <f t="shared" si="45"/>
        <v>BREAK BULK</v>
      </c>
      <c r="M144" s="41" t="str">
        <f t="shared" si="46"/>
        <v>FOREIGN</v>
      </c>
      <c r="N144" s="41" t="str">
        <f t="shared" si="47"/>
        <v>Mooring</v>
      </c>
      <c r="O144" s="134">
        <f t="shared" ref="O144:O175" si="50">IF(N144="PESP &amp; Dredging",1,$X$1)</f>
        <v>80000</v>
      </c>
      <c r="P144" s="40">
        <f>IFERROR(VLOOKUP(J144,'Tariff Master'!G:J,2,0),0)</f>
        <v>3.4720000000000001E-2</v>
      </c>
      <c r="Q144" s="40">
        <f t="shared" si="39"/>
        <v>1</v>
      </c>
      <c r="R144" s="45">
        <f t="shared" si="48"/>
        <v>2777.6</v>
      </c>
      <c r="S144" s="28">
        <f>IFERROR(VLOOKUP(J144,'Tariff Master'!G:J,3,0),0)</f>
        <v>200</v>
      </c>
      <c r="T144" s="28" t="str">
        <f>IFERROR(VLOOKUP(J144,'Tariff Master'!G:J,4,0),0)</f>
        <v>USD</v>
      </c>
      <c r="V144">
        <f t="shared" si="41"/>
        <v>83</v>
      </c>
      <c r="W144" s="46">
        <f t="shared" si="49"/>
        <v>2.3054079999999998E-2</v>
      </c>
    </row>
    <row r="145" spans="1:23">
      <c r="A145" t="s">
        <v>183</v>
      </c>
      <c r="B145" t="s">
        <v>74</v>
      </c>
      <c r="C145" t="s">
        <v>373</v>
      </c>
      <c r="D145" t="s">
        <v>103</v>
      </c>
      <c r="E145" t="s">
        <v>343</v>
      </c>
      <c r="F145" s="28">
        <v>600</v>
      </c>
      <c r="G145" s="28">
        <v>0</v>
      </c>
      <c r="J145" t="str">
        <f t="shared" si="43"/>
        <v>MUNDRABREAK BULKFOREIGNPESP &amp; Dredging</v>
      </c>
      <c r="K145" s="41" t="str">
        <f t="shared" si="44"/>
        <v>MUNDRA</v>
      </c>
      <c r="L145" s="41" t="str">
        <f t="shared" si="45"/>
        <v>BREAK BULK</v>
      </c>
      <c r="M145" s="41" t="str">
        <f t="shared" si="46"/>
        <v>FOREIGN</v>
      </c>
      <c r="N145" s="41" t="str">
        <f t="shared" si="47"/>
        <v>PESP &amp; Dredging</v>
      </c>
      <c r="O145" s="134">
        <f t="shared" si="50"/>
        <v>1</v>
      </c>
      <c r="P145" s="40">
        <f>IFERROR(VLOOKUP(J145,'Tariff Master'!G:J,2,0),0)</f>
        <v>800</v>
      </c>
      <c r="Q145" s="40">
        <f t="shared" si="39"/>
        <v>1</v>
      </c>
      <c r="R145" s="45">
        <f t="shared" si="48"/>
        <v>800</v>
      </c>
      <c r="S145" s="28">
        <f>IFERROR(VLOOKUP(J145,'Tariff Master'!G:J,3,0),0)</f>
        <v>0</v>
      </c>
      <c r="T145" s="28" t="str">
        <f>IFERROR(VLOOKUP(J145,'Tariff Master'!G:J,4,0),0)</f>
        <v>USD</v>
      </c>
      <c r="V145">
        <f t="shared" si="41"/>
        <v>83</v>
      </c>
      <c r="W145" s="46">
        <f t="shared" si="49"/>
        <v>6.6400000000000001E-3</v>
      </c>
    </row>
    <row r="146" spans="1:23">
      <c r="A146" t="s">
        <v>183</v>
      </c>
      <c r="B146" t="s">
        <v>74</v>
      </c>
      <c r="C146" t="s">
        <v>373</v>
      </c>
      <c r="D146" t="s">
        <v>103</v>
      </c>
      <c r="E146" t="s">
        <v>3</v>
      </c>
      <c r="F146" s="28">
        <v>0.96704599999999996</v>
      </c>
      <c r="G146" s="28">
        <v>15370</v>
      </c>
      <c r="J146" t="str">
        <f t="shared" si="43"/>
        <v>MUNDRABREAK BULKFOREIGNPilotage</v>
      </c>
      <c r="K146" s="41" t="str">
        <f t="shared" si="44"/>
        <v>MUNDRA</v>
      </c>
      <c r="L146" s="41" t="str">
        <f t="shared" si="45"/>
        <v>BREAK BULK</v>
      </c>
      <c r="M146" s="41" t="str">
        <f t="shared" si="46"/>
        <v>FOREIGN</v>
      </c>
      <c r="N146" s="41" t="str">
        <f t="shared" si="47"/>
        <v>Pilotage</v>
      </c>
      <c r="O146" s="134">
        <f t="shared" si="50"/>
        <v>80000</v>
      </c>
      <c r="P146" s="40">
        <f>IFERROR(VLOOKUP(J146,'Tariff Master'!G:J,2,0),0)</f>
        <v>0.96704599999999996</v>
      </c>
      <c r="Q146" s="40">
        <f t="shared" si="39"/>
        <v>1</v>
      </c>
      <c r="R146" s="45">
        <f t="shared" si="48"/>
        <v>77363.679999999993</v>
      </c>
      <c r="S146" s="28">
        <f>IFERROR(VLOOKUP(J146,'Tariff Master'!G:J,3,0),0)</f>
        <v>15370</v>
      </c>
      <c r="T146" s="28" t="str">
        <f>IFERROR(VLOOKUP(J146,'Tariff Master'!G:J,4,0),0)</f>
        <v>USD</v>
      </c>
      <c r="V146">
        <f t="shared" si="41"/>
        <v>83</v>
      </c>
      <c r="W146" s="46">
        <f t="shared" si="49"/>
        <v>0.6421185439999999</v>
      </c>
    </row>
    <row r="147" spans="1:23">
      <c r="A147" t="s">
        <v>183</v>
      </c>
      <c r="B147" t="s">
        <v>74</v>
      </c>
      <c r="C147" t="s">
        <v>373</v>
      </c>
      <c r="D147" t="s">
        <v>103</v>
      </c>
      <c r="E147" t="s">
        <v>0</v>
      </c>
      <c r="F147" s="28">
        <v>6.5016000000000004E-2</v>
      </c>
      <c r="G147" s="28">
        <v>330</v>
      </c>
      <c r="J147" t="str">
        <f t="shared" si="43"/>
        <v>MUNDRABREAK BULKFOREIGNPort Dues</v>
      </c>
      <c r="K147" s="41" t="str">
        <f t="shared" si="44"/>
        <v>MUNDRA</v>
      </c>
      <c r="L147" s="41" t="str">
        <f t="shared" si="45"/>
        <v>BREAK BULK</v>
      </c>
      <c r="M147" s="41" t="str">
        <f t="shared" si="46"/>
        <v>FOREIGN</v>
      </c>
      <c r="N147" s="41" t="str">
        <f t="shared" si="47"/>
        <v>Port Dues</v>
      </c>
      <c r="O147" s="134">
        <f t="shared" si="50"/>
        <v>80000</v>
      </c>
      <c r="P147" s="40">
        <f>IFERROR(VLOOKUP(J147,'Tariff Master'!G:J,2,0),0)</f>
        <v>6.5016000000000004E-2</v>
      </c>
      <c r="Q147" s="40">
        <f t="shared" si="39"/>
        <v>1</v>
      </c>
      <c r="R147" s="45">
        <f t="shared" si="48"/>
        <v>5201.2800000000007</v>
      </c>
      <c r="S147" s="28">
        <f>IFERROR(VLOOKUP(J147,'Tariff Master'!G:J,3,0),0)</f>
        <v>330</v>
      </c>
      <c r="T147" s="28" t="str">
        <f>IFERROR(VLOOKUP(J147,'Tariff Master'!G:J,4,0),0)</f>
        <v>USD</v>
      </c>
      <c r="V147">
        <f t="shared" si="41"/>
        <v>83</v>
      </c>
      <c r="W147" s="46">
        <f t="shared" si="49"/>
        <v>4.3170624000000005E-2</v>
      </c>
    </row>
    <row r="148" spans="1:23">
      <c r="A148" t="s">
        <v>183</v>
      </c>
      <c r="B148" t="s">
        <v>372</v>
      </c>
      <c r="C148" t="s">
        <v>102</v>
      </c>
      <c r="D148" t="s">
        <v>138</v>
      </c>
      <c r="E148" t="s">
        <v>7</v>
      </c>
      <c r="F148" s="28">
        <v>5.0000000000000001E-3</v>
      </c>
      <c r="G148" s="28">
        <v>500</v>
      </c>
      <c r="J148" t="str">
        <f t="shared" si="43"/>
        <v>KRISHNAPTNMCONTAINERCOASTALBerth Hire</v>
      </c>
      <c r="K148" s="41" t="str">
        <f t="shared" si="44"/>
        <v>KRISHNAPTNM</v>
      </c>
      <c r="L148" s="41" t="str">
        <f t="shared" si="45"/>
        <v>CONTAINER</v>
      </c>
      <c r="M148" s="41" t="str">
        <f t="shared" si="46"/>
        <v>COASTAL</v>
      </c>
      <c r="N148" s="41" t="str">
        <f t="shared" si="47"/>
        <v>Berth Hire</v>
      </c>
      <c r="O148" s="134">
        <f t="shared" si="50"/>
        <v>80000</v>
      </c>
      <c r="P148" s="40">
        <f>IFERROR(VLOOKUP(J148,'Tariff Master'!G:J,2,0),0)</f>
        <v>5.0000000000000001E-3</v>
      </c>
      <c r="Q148" s="40">
        <f t="shared" si="39"/>
        <v>23</v>
      </c>
      <c r="R148" s="45">
        <f t="shared" si="48"/>
        <v>9200</v>
      </c>
      <c r="S148" s="28">
        <f>IFERROR(VLOOKUP(J148,'Tariff Master'!G:J,3,0),0)</f>
        <v>500</v>
      </c>
      <c r="T148" s="28" t="str">
        <f>IFERROR(VLOOKUP(J148,'Tariff Master'!G:J,4,0),0)</f>
        <v>USD</v>
      </c>
      <c r="V148">
        <f t="shared" si="41"/>
        <v>83</v>
      </c>
      <c r="W148" s="46">
        <f t="shared" si="49"/>
        <v>7.6359999999999997E-2</v>
      </c>
    </row>
    <row r="149" spans="1:23">
      <c r="A149" t="s">
        <v>183</v>
      </c>
      <c r="B149" t="s">
        <v>372</v>
      </c>
      <c r="C149" t="s">
        <v>102</v>
      </c>
      <c r="D149" t="s">
        <v>138</v>
      </c>
      <c r="E149" t="s">
        <v>4</v>
      </c>
      <c r="F149" s="28">
        <v>3.4720000000000001E-2</v>
      </c>
      <c r="G149" s="28">
        <v>200</v>
      </c>
      <c r="J149" t="str">
        <f t="shared" si="43"/>
        <v>KRISHNAPTNMCONTAINERCOASTALMooring</v>
      </c>
      <c r="K149" s="41" t="str">
        <f t="shared" si="44"/>
        <v>KRISHNAPTNM</v>
      </c>
      <c r="L149" s="41" t="str">
        <f t="shared" si="45"/>
        <v>CONTAINER</v>
      </c>
      <c r="M149" s="41" t="str">
        <f t="shared" si="46"/>
        <v>COASTAL</v>
      </c>
      <c r="N149" s="41" t="str">
        <f t="shared" si="47"/>
        <v>Mooring</v>
      </c>
      <c r="O149" s="134">
        <f t="shared" si="50"/>
        <v>80000</v>
      </c>
      <c r="P149" s="40">
        <f>IFERROR(VLOOKUP(J149,'Tariff Master'!G:J,2,0),0)</f>
        <v>3.4720000000000001E-2</v>
      </c>
      <c r="Q149" s="40">
        <f t="shared" si="39"/>
        <v>1</v>
      </c>
      <c r="R149" s="45">
        <f t="shared" si="48"/>
        <v>2777.6</v>
      </c>
      <c r="S149" s="28">
        <f>IFERROR(VLOOKUP(J149,'Tariff Master'!G:J,3,0),0)</f>
        <v>200</v>
      </c>
      <c r="T149" s="28" t="str">
        <f>IFERROR(VLOOKUP(J149,'Tariff Master'!G:J,4,0),0)</f>
        <v>USD</v>
      </c>
      <c r="V149">
        <f t="shared" si="41"/>
        <v>83</v>
      </c>
      <c r="W149" s="46">
        <f t="shared" si="49"/>
        <v>2.3054079999999998E-2</v>
      </c>
    </row>
    <row r="150" spans="1:23">
      <c r="A150" t="s">
        <v>183</v>
      </c>
      <c r="B150" t="s">
        <v>372</v>
      </c>
      <c r="C150" t="s">
        <v>102</v>
      </c>
      <c r="D150" t="s">
        <v>138</v>
      </c>
      <c r="E150" t="s">
        <v>343</v>
      </c>
      <c r="F150" s="28">
        <v>0</v>
      </c>
      <c r="G150" s="28">
        <v>0</v>
      </c>
      <c r="J150" t="str">
        <f t="shared" si="43"/>
        <v>KRISHNAPTNMCONTAINERCOASTALPESP &amp; Dredging</v>
      </c>
      <c r="K150" s="41" t="str">
        <f t="shared" si="44"/>
        <v>KRISHNAPTNM</v>
      </c>
      <c r="L150" s="41" t="str">
        <f t="shared" si="45"/>
        <v>CONTAINER</v>
      </c>
      <c r="M150" s="41" t="str">
        <f t="shared" si="46"/>
        <v>COASTAL</v>
      </c>
      <c r="N150" s="41" t="str">
        <f t="shared" si="47"/>
        <v>PESP &amp; Dredging</v>
      </c>
      <c r="O150" s="134">
        <f t="shared" si="50"/>
        <v>1</v>
      </c>
      <c r="P150" s="40">
        <f>IFERROR(VLOOKUP(J150,'Tariff Master'!G:J,2,0),0)</f>
        <v>0</v>
      </c>
      <c r="Q150" s="40">
        <f t="shared" si="39"/>
        <v>1</v>
      </c>
      <c r="R150" s="45">
        <f t="shared" si="48"/>
        <v>0</v>
      </c>
      <c r="S150" s="28">
        <f>IFERROR(VLOOKUP(J150,'Tariff Master'!G:J,3,0),0)</f>
        <v>0</v>
      </c>
      <c r="T150" s="28" t="str">
        <f>IFERROR(VLOOKUP(J150,'Tariff Master'!G:J,4,0),0)</f>
        <v>USD</v>
      </c>
      <c r="V150">
        <f t="shared" si="41"/>
        <v>83</v>
      </c>
      <c r="W150" s="46">
        <f t="shared" si="49"/>
        <v>0</v>
      </c>
    </row>
    <row r="151" spans="1:23">
      <c r="A151" t="s">
        <v>183</v>
      </c>
      <c r="B151" t="s">
        <v>372</v>
      </c>
      <c r="C151" t="s">
        <v>102</v>
      </c>
      <c r="D151" t="s">
        <v>138</v>
      </c>
      <c r="E151" t="s">
        <v>3</v>
      </c>
      <c r="F151" s="28">
        <v>1.2535000000000001</v>
      </c>
      <c r="G151" s="28">
        <v>0</v>
      </c>
      <c r="J151" t="str">
        <f t="shared" si="43"/>
        <v>KRISHNAPTNMCONTAINERCOASTALPilotage</v>
      </c>
      <c r="K151" s="41" t="str">
        <f t="shared" si="44"/>
        <v>KRISHNAPTNM</v>
      </c>
      <c r="L151" s="41" t="str">
        <f t="shared" si="45"/>
        <v>CONTAINER</v>
      </c>
      <c r="M151" s="41" t="str">
        <f t="shared" si="46"/>
        <v>COASTAL</v>
      </c>
      <c r="N151" s="41" t="str">
        <f t="shared" si="47"/>
        <v>Pilotage</v>
      </c>
      <c r="O151" s="134">
        <f t="shared" si="50"/>
        <v>80000</v>
      </c>
      <c r="P151" s="40">
        <f>IFERROR(VLOOKUP(J151,'Tariff Master'!G:J,2,0),0)</f>
        <v>1.526</v>
      </c>
      <c r="Q151" s="40">
        <f t="shared" si="39"/>
        <v>1</v>
      </c>
      <c r="R151" s="45">
        <f t="shared" si="48"/>
        <v>122080</v>
      </c>
      <c r="S151" s="28">
        <f>IFERROR(VLOOKUP(J151,'Tariff Master'!G:J,3,0),0)</f>
        <v>0</v>
      </c>
      <c r="T151" s="28" t="str">
        <f>IFERROR(VLOOKUP(J151,'Tariff Master'!G:J,4,0),0)</f>
        <v>USD</v>
      </c>
      <c r="V151">
        <f t="shared" si="41"/>
        <v>83</v>
      </c>
      <c r="W151" s="46">
        <f t="shared" si="49"/>
        <v>1.0132639999999999</v>
      </c>
    </row>
    <row r="152" spans="1:23">
      <c r="A152" t="s">
        <v>183</v>
      </c>
      <c r="B152" t="s">
        <v>372</v>
      </c>
      <c r="C152" t="s">
        <v>102</v>
      </c>
      <c r="D152" t="s">
        <v>138</v>
      </c>
      <c r="E152" t="s">
        <v>0</v>
      </c>
      <c r="F152" s="28">
        <v>6.5060999999999994E-2</v>
      </c>
      <c r="G152" s="28">
        <v>500</v>
      </c>
      <c r="J152" t="str">
        <f t="shared" si="43"/>
        <v>KRISHNAPTNMCONTAINERCOASTALPort Dues</v>
      </c>
      <c r="K152" s="41" t="str">
        <f t="shared" si="44"/>
        <v>KRISHNAPTNM</v>
      </c>
      <c r="L152" s="41" t="str">
        <f t="shared" si="45"/>
        <v>CONTAINER</v>
      </c>
      <c r="M152" s="41" t="str">
        <f t="shared" si="46"/>
        <v>COASTAL</v>
      </c>
      <c r="N152" s="41" t="str">
        <f t="shared" si="47"/>
        <v>Port Dues</v>
      </c>
      <c r="O152" s="134">
        <f t="shared" si="50"/>
        <v>80000</v>
      </c>
      <c r="P152" s="40">
        <f>IFERROR(VLOOKUP(J152,'Tariff Master'!G:J,2,0),0)</f>
        <v>6.5060999999999994E-2</v>
      </c>
      <c r="Q152" s="40">
        <f t="shared" si="39"/>
        <v>1</v>
      </c>
      <c r="R152" s="45">
        <f t="shared" si="48"/>
        <v>5204.8799999999992</v>
      </c>
      <c r="S152" s="28">
        <f>IFERROR(VLOOKUP(J152,'Tariff Master'!G:J,3,0),0)</f>
        <v>500</v>
      </c>
      <c r="T152" s="28" t="str">
        <f>IFERROR(VLOOKUP(J152,'Tariff Master'!G:J,4,0),0)</f>
        <v>USD</v>
      </c>
      <c r="V152">
        <f t="shared" si="41"/>
        <v>83</v>
      </c>
      <c r="W152" s="46">
        <f t="shared" si="49"/>
        <v>4.3200503999999994E-2</v>
      </c>
    </row>
    <row r="153" spans="1:23">
      <c r="A153" t="s">
        <v>183</v>
      </c>
      <c r="B153" t="s">
        <v>372</v>
      </c>
      <c r="C153" t="s">
        <v>102</v>
      </c>
      <c r="D153" t="s">
        <v>138</v>
      </c>
      <c r="E153" t="s">
        <v>351</v>
      </c>
      <c r="F153" s="28">
        <v>0.115</v>
      </c>
      <c r="G153" s="28">
        <v>0</v>
      </c>
      <c r="J153" t="str">
        <f t="shared" si="43"/>
        <v>KRISHNAPTNMCONTAINERCOASTALSustainability</v>
      </c>
      <c r="K153" s="41" t="str">
        <f t="shared" si="44"/>
        <v>KRISHNAPTNM</v>
      </c>
      <c r="L153" s="41" t="str">
        <f t="shared" si="45"/>
        <v>CONTAINER</v>
      </c>
      <c r="M153" s="41" t="str">
        <f t="shared" si="46"/>
        <v>COASTAL</v>
      </c>
      <c r="N153" s="41" t="str">
        <f t="shared" si="47"/>
        <v>Sustainability</v>
      </c>
      <c r="O153" s="134">
        <f t="shared" si="50"/>
        <v>80000</v>
      </c>
      <c r="P153" s="40">
        <f>IFERROR(VLOOKUP(J153,'Tariff Master'!G:J,2,0),0)</f>
        <v>0.115</v>
      </c>
      <c r="Q153" s="40">
        <f t="shared" si="39"/>
        <v>1</v>
      </c>
      <c r="R153" s="45">
        <f t="shared" si="48"/>
        <v>9200</v>
      </c>
      <c r="S153" s="28">
        <f>IFERROR(VLOOKUP(J153,'Tariff Master'!G:J,3,0),0)</f>
        <v>0</v>
      </c>
      <c r="T153" s="28" t="str">
        <f>IFERROR(VLOOKUP(J153,'Tariff Master'!G:J,4,0),0)</f>
        <v>USD</v>
      </c>
      <c r="V153">
        <f t="shared" si="41"/>
        <v>83</v>
      </c>
      <c r="W153" s="46">
        <f t="shared" si="49"/>
        <v>7.6359999999999997E-2</v>
      </c>
    </row>
    <row r="154" spans="1:23">
      <c r="A154" t="s">
        <v>183</v>
      </c>
      <c r="B154" t="s">
        <v>372</v>
      </c>
      <c r="C154" t="s">
        <v>102</v>
      </c>
      <c r="D154" t="s">
        <v>103</v>
      </c>
      <c r="E154" t="s">
        <v>7</v>
      </c>
      <c r="F154" s="28">
        <v>5.0000000000000001E-3</v>
      </c>
      <c r="G154" s="28">
        <v>500</v>
      </c>
      <c r="J154" t="str">
        <f t="shared" si="43"/>
        <v>KRISHNAPTNMCONTAINERFOREIGNBerth Hire</v>
      </c>
      <c r="K154" s="41" t="str">
        <f t="shared" si="44"/>
        <v>KRISHNAPTNM</v>
      </c>
      <c r="L154" s="41" t="str">
        <f t="shared" si="45"/>
        <v>CONTAINER</v>
      </c>
      <c r="M154" s="41" t="str">
        <f t="shared" si="46"/>
        <v>FOREIGN</v>
      </c>
      <c r="N154" s="41" t="str">
        <f t="shared" si="47"/>
        <v>Berth Hire</v>
      </c>
      <c r="O154" s="134">
        <f t="shared" si="50"/>
        <v>80000</v>
      </c>
      <c r="P154" s="40">
        <f>IFERROR(VLOOKUP(J154,'Tariff Master'!G:J,2,0),0)</f>
        <v>5.0000000000000001E-3</v>
      </c>
      <c r="Q154" s="40">
        <f t="shared" si="39"/>
        <v>23</v>
      </c>
      <c r="R154" s="45">
        <f t="shared" si="48"/>
        <v>9200</v>
      </c>
      <c r="S154" s="28">
        <f>IFERROR(VLOOKUP(J154,'Tariff Master'!G:J,3,0),0)</f>
        <v>500</v>
      </c>
      <c r="T154" s="28" t="str">
        <f>IFERROR(VLOOKUP(J154,'Tariff Master'!G:J,4,0),0)</f>
        <v>USD</v>
      </c>
      <c r="V154">
        <f t="shared" si="41"/>
        <v>83</v>
      </c>
      <c r="W154" s="46">
        <f t="shared" si="49"/>
        <v>7.6359999999999997E-2</v>
      </c>
    </row>
    <row r="155" spans="1:23">
      <c r="A155" t="s">
        <v>183</v>
      </c>
      <c r="B155" t="s">
        <v>372</v>
      </c>
      <c r="C155" t="s">
        <v>102</v>
      </c>
      <c r="D155" t="s">
        <v>103</v>
      </c>
      <c r="E155" t="s">
        <v>4</v>
      </c>
      <c r="F155" s="28">
        <v>3.4720000000000001E-2</v>
      </c>
      <c r="G155" s="28">
        <v>200</v>
      </c>
      <c r="J155" t="str">
        <f t="shared" si="43"/>
        <v>KRISHNAPTNMCONTAINERFOREIGNMooring</v>
      </c>
      <c r="K155" s="41" t="str">
        <f t="shared" si="44"/>
        <v>KRISHNAPTNM</v>
      </c>
      <c r="L155" s="41" t="str">
        <f t="shared" si="45"/>
        <v>CONTAINER</v>
      </c>
      <c r="M155" s="41" t="str">
        <f t="shared" si="46"/>
        <v>FOREIGN</v>
      </c>
      <c r="N155" s="41" t="str">
        <f t="shared" si="47"/>
        <v>Mooring</v>
      </c>
      <c r="O155" s="134">
        <f t="shared" si="50"/>
        <v>80000</v>
      </c>
      <c r="P155" s="40">
        <f>IFERROR(VLOOKUP(J155,'Tariff Master'!G:J,2,0),0)</f>
        <v>3.4720000000000001E-2</v>
      </c>
      <c r="Q155" s="40">
        <f t="shared" si="39"/>
        <v>1</v>
      </c>
      <c r="R155" s="45">
        <f t="shared" si="48"/>
        <v>2777.6</v>
      </c>
      <c r="S155" s="28">
        <f>IFERROR(VLOOKUP(J155,'Tariff Master'!G:J,3,0),0)</f>
        <v>200</v>
      </c>
      <c r="T155" s="28" t="str">
        <f>IFERROR(VLOOKUP(J155,'Tariff Master'!G:J,4,0),0)</f>
        <v>USD</v>
      </c>
      <c r="V155">
        <f t="shared" si="41"/>
        <v>83</v>
      </c>
      <c r="W155" s="46">
        <f t="shared" si="49"/>
        <v>2.3054079999999998E-2</v>
      </c>
    </row>
    <row r="156" spans="1:23">
      <c r="A156" t="s">
        <v>183</v>
      </c>
      <c r="B156" t="s">
        <v>372</v>
      </c>
      <c r="C156" t="s">
        <v>102</v>
      </c>
      <c r="D156" t="s">
        <v>103</v>
      </c>
      <c r="E156" t="s">
        <v>343</v>
      </c>
      <c r="F156" s="28">
        <v>0</v>
      </c>
      <c r="G156" s="28">
        <v>0</v>
      </c>
      <c r="J156" t="str">
        <f t="shared" si="43"/>
        <v>KRISHNAPTNMCONTAINERFOREIGNPESP &amp; Dredging</v>
      </c>
      <c r="K156" s="41" t="str">
        <f t="shared" si="44"/>
        <v>KRISHNAPTNM</v>
      </c>
      <c r="L156" s="41" t="str">
        <f t="shared" si="45"/>
        <v>CONTAINER</v>
      </c>
      <c r="M156" s="41" t="str">
        <f t="shared" si="46"/>
        <v>FOREIGN</v>
      </c>
      <c r="N156" s="41" t="str">
        <f t="shared" si="47"/>
        <v>PESP &amp; Dredging</v>
      </c>
      <c r="O156" s="134">
        <f t="shared" si="50"/>
        <v>1</v>
      </c>
      <c r="P156" s="40">
        <f>IFERROR(VLOOKUP(J156,'Tariff Master'!G:J,2,0),0)</f>
        <v>0</v>
      </c>
      <c r="Q156" s="40">
        <f t="shared" si="39"/>
        <v>1</v>
      </c>
      <c r="R156" s="45">
        <f t="shared" si="48"/>
        <v>0</v>
      </c>
      <c r="S156" s="28">
        <f>IFERROR(VLOOKUP(J156,'Tariff Master'!G:J,3,0),0)</f>
        <v>0</v>
      </c>
      <c r="T156" s="28" t="str">
        <f>IFERROR(VLOOKUP(J156,'Tariff Master'!G:J,4,0),0)</f>
        <v>USD</v>
      </c>
      <c r="V156">
        <f t="shared" si="41"/>
        <v>83</v>
      </c>
      <c r="W156" s="46">
        <f t="shared" si="49"/>
        <v>0</v>
      </c>
    </row>
    <row r="157" spans="1:23">
      <c r="A157" t="s">
        <v>183</v>
      </c>
      <c r="B157" t="s">
        <v>372</v>
      </c>
      <c r="C157" t="s">
        <v>102</v>
      </c>
      <c r="D157" t="s">
        <v>103</v>
      </c>
      <c r="E157" t="s">
        <v>3</v>
      </c>
      <c r="F157" s="28">
        <v>1.2535000000000001</v>
      </c>
      <c r="G157" s="28">
        <v>0</v>
      </c>
      <c r="J157" t="str">
        <f t="shared" si="43"/>
        <v>KRISHNAPTNMCONTAINERFOREIGNPilotage</v>
      </c>
      <c r="K157" s="41" t="str">
        <f t="shared" si="44"/>
        <v>KRISHNAPTNM</v>
      </c>
      <c r="L157" s="41" t="str">
        <f t="shared" si="45"/>
        <v>CONTAINER</v>
      </c>
      <c r="M157" s="41" t="str">
        <f t="shared" si="46"/>
        <v>FOREIGN</v>
      </c>
      <c r="N157" s="41" t="str">
        <f t="shared" si="47"/>
        <v>Pilotage</v>
      </c>
      <c r="O157" s="134">
        <f t="shared" si="50"/>
        <v>80000</v>
      </c>
      <c r="P157" s="40">
        <f>IFERROR(VLOOKUP(J157,'Tariff Master'!G:J,2,0),0)</f>
        <v>1.526</v>
      </c>
      <c r="Q157" s="40">
        <f t="shared" si="39"/>
        <v>1</v>
      </c>
      <c r="R157" s="45">
        <f t="shared" si="48"/>
        <v>122080</v>
      </c>
      <c r="S157" s="28">
        <f>IFERROR(VLOOKUP(J157,'Tariff Master'!G:J,3,0),0)</f>
        <v>0</v>
      </c>
      <c r="T157" s="28" t="str">
        <f>IFERROR(VLOOKUP(J157,'Tariff Master'!G:J,4,0),0)</f>
        <v>USD</v>
      </c>
      <c r="V157">
        <f t="shared" si="41"/>
        <v>83</v>
      </c>
      <c r="W157" s="46">
        <f t="shared" si="49"/>
        <v>1.0132639999999999</v>
      </c>
    </row>
    <row r="158" spans="1:23">
      <c r="A158" t="s">
        <v>183</v>
      </c>
      <c r="B158" t="s">
        <v>372</v>
      </c>
      <c r="C158" t="s">
        <v>102</v>
      </c>
      <c r="D158" t="s">
        <v>103</v>
      </c>
      <c r="E158" t="s">
        <v>0</v>
      </c>
      <c r="F158" s="28">
        <v>6.5060999999999994E-2</v>
      </c>
      <c r="G158" s="28">
        <v>500</v>
      </c>
      <c r="J158" t="str">
        <f t="shared" si="43"/>
        <v>KRISHNAPTNMCONTAINERFOREIGNPort Dues</v>
      </c>
      <c r="K158" s="41" t="str">
        <f t="shared" si="44"/>
        <v>KRISHNAPTNM</v>
      </c>
      <c r="L158" s="41" t="str">
        <f t="shared" si="45"/>
        <v>CONTAINER</v>
      </c>
      <c r="M158" s="41" t="str">
        <f t="shared" si="46"/>
        <v>FOREIGN</v>
      </c>
      <c r="N158" s="41" t="str">
        <f t="shared" si="47"/>
        <v>Port Dues</v>
      </c>
      <c r="O158" s="134">
        <f t="shared" si="50"/>
        <v>80000</v>
      </c>
      <c r="P158" s="40">
        <f>IFERROR(VLOOKUP(J158,'Tariff Master'!G:J,2,0),0)</f>
        <v>6.5060999999999994E-2</v>
      </c>
      <c r="Q158" s="40">
        <f t="shared" si="39"/>
        <v>1</v>
      </c>
      <c r="R158" s="45">
        <f t="shared" si="48"/>
        <v>5204.8799999999992</v>
      </c>
      <c r="S158" s="28">
        <f>IFERROR(VLOOKUP(J158,'Tariff Master'!G:J,3,0),0)</f>
        <v>500</v>
      </c>
      <c r="T158" s="28" t="str">
        <f>IFERROR(VLOOKUP(J158,'Tariff Master'!G:J,4,0),0)</f>
        <v>USD</v>
      </c>
      <c r="V158">
        <f t="shared" si="41"/>
        <v>83</v>
      </c>
      <c r="W158" s="46">
        <f t="shared" si="49"/>
        <v>4.3200503999999994E-2</v>
      </c>
    </row>
    <row r="159" spans="1:23">
      <c r="A159" t="s">
        <v>183</v>
      </c>
      <c r="B159" t="s">
        <v>372</v>
      </c>
      <c r="C159" t="s">
        <v>102</v>
      </c>
      <c r="D159" t="s">
        <v>103</v>
      </c>
      <c r="E159" t="s">
        <v>351</v>
      </c>
      <c r="F159" s="28">
        <v>0.115</v>
      </c>
      <c r="G159" s="28">
        <v>0</v>
      </c>
      <c r="J159" t="str">
        <f t="shared" si="43"/>
        <v>KRISHNAPTNMCONTAINERFOREIGNSustainability</v>
      </c>
      <c r="K159" s="41" t="str">
        <f t="shared" si="44"/>
        <v>KRISHNAPTNM</v>
      </c>
      <c r="L159" s="41" t="str">
        <f t="shared" si="45"/>
        <v>CONTAINER</v>
      </c>
      <c r="M159" s="41" t="str">
        <f t="shared" si="46"/>
        <v>FOREIGN</v>
      </c>
      <c r="N159" s="41" t="str">
        <f t="shared" si="47"/>
        <v>Sustainability</v>
      </c>
      <c r="O159" s="134">
        <f t="shared" si="50"/>
        <v>80000</v>
      </c>
      <c r="P159" s="40">
        <f>IFERROR(VLOOKUP(J159,'Tariff Master'!G:J,2,0),0)</f>
        <v>0.115</v>
      </c>
      <c r="Q159" s="40">
        <f t="shared" si="39"/>
        <v>1</v>
      </c>
      <c r="R159" s="45">
        <f t="shared" si="48"/>
        <v>9200</v>
      </c>
      <c r="S159" s="28">
        <f>IFERROR(VLOOKUP(J159,'Tariff Master'!G:J,3,0),0)</f>
        <v>0</v>
      </c>
      <c r="T159" s="28" t="str">
        <f>IFERROR(VLOOKUP(J159,'Tariff Master'!G:J,4,0),0)</f>
        <v>USD</v>
      </c>
      <c r="V159">
        <f t="shared" si="41"/>
        <v>83</v>
      </c>
      <c r="W159" s="46">
        <f t="shared" si="49"/>
        <v>7.6359999999999997E-2</v>
      </c>
    </row>
    <row r="160" spans="1:23">
      <c r="A160" t="s">
        <v>183</v>
      </c>
      <c r="B160" t="s">
        <v>372</v>
      </c>
      <c r="C160" t="s">
        <v>355</v>
      </c>
      <c r="D160" t="s">
        <v>138</v>
      </c>
      <c r="E160" t="s">
        <v>7</v>
      </c>
      <c r="F160" s="28">
        <v>0.01</v>
      </c>
      <c r="G160" s="28">
        <v>500</v>
      </c>
      <c r="J160" t="str">
        <f t="shared" si="43"/>
        <v>KRISHNAPTNMDRY BULKCOASTALBerth Hire</v>
      </c>
      <c r="K160" s="41" t="str">
        <f t="shared" si="44"/>
        <v>KRISHNAPTNM</v>
      </c>
      <c r="L160" s="41" t="str">
        <f t="shared" si="45"/>
        <v>DRY BULK</v>
      </c>
      <c r="M160" s="41" t="str">
        <f t="shared" si="46"/>
        <v>COASTAL</v>
      </c>
      <c r="N160" s="41" t="str">
        <f t="shared" si="47"/>
        <v>Berth Hire</v>
      </c>
      <c r="O160" s="134">
        <f t="shared" si="50"/>
        <v>80000</v>
      </c>
      <c r="P160" s="40">
        <f>IFERROR(VLOOKUP(J160,'Tariff Master'!G:J,2,0),0)</f>
        <v>0.01</v>
      </c>
      <c r="Q160" s="40">
        <f t="shared" si="39"/>
        <v>23</v>
      </c>
      <c r="R160" s="45">
        <f t="shared" si="48"/>
        <v>18400</v>
      </c>
      <c r="S160" s="28">
        <f>IFERROR(VLOOKUP(J160,'Tariff Master'!G:J,3,0),0)</f>
        <v>500</v>
      </c>
      <c r="T160" s="28" t="str">
        <f>IFERROR(VLOOKUP(J160,'Tariff Master'!G:J,4,0),0)</f>
        <v>USD</v>
      </c>
      <c r="V160">
        <f t="shared" si="41"/>
        <v>83</v>
      </c>
      <c r="W160" s="46">
        <f t="shared" si="49"/>
        <v>0.15271999999999999</v>
      </c>
    </row>
    <row r="161" spans="1:23">
      <c r="A161" t="s">
        <v>183</v>
      </c>
      <c r="B161" t="s">
        <v>372</v>
      </c>
      <c r="C161" t="s">
        <v>355</v>
      </c>
      <c r="D161" t="s">
        <v>138</v>
      </c>
      <c r="E161" t="s">
        <v>4</v>
      </c>
      <c r="F161" s="28">
        <v>3.4720000000000001E-2</v>
      </c>
      <c r="G161" s="28">
        <v>200</v>
      </c>
      <c r="J161" t="str">
        <f t="shared" si="43"/>
        <v>KRISHNAPTNMDRY BULKCOASTALMooring</v>
      </c>
      <c r="K161" s="41" t="str">
        <f t="shared" si="44"/>
        <v>KRISHNAPTNM</v>
      </c>
      <c r="L161" s="41" t="str">
        <f t="shared" si="45"/>
        <v>DRY BULK</v>
      </c>
      <c r="M161" s="41" t="str">
        <f t="shared" si="46"/>
        <v>COASTAL</v>
      </c>
      <c r="N161" s="41" t="str">
        <f t="shared" si="47"/>
        <v>Mooring</v>
      </c>
      <c r="O161" s="134">
        <f t="shared" si="50"/>
        <v>80000</v>
      </c>
      <c r="P161" s="40">
        <f>IFERROR(VLOOKUP(J161,'Tariff Master'!G:J,2,0),0)</f>
        <v>3.4720000000000001E-2</v>
      </c>
      <c r="Q161" s="40">
        <f t="shared" si="39"/>
        <v>1</v>
      </c>
      <c r="R161" s="45">
        <f t="shared" si="48"/>
        <v>2777.6</v>
      </c>
      <c r="S161" s="28">
        <f>IFERROR(VLOOKUP(J161,'Tariff Master'!G:J,3,0),0)</f>
        <v>200</v>
      </c>
      <c r="T161" s="28" t="str">
        <f>IFERROR(VLOOKUP(J161,'Tariff Master'!G:J,4,0),0)</f>
        <v>USD</v>
      </c>
      <c r="V161">
        <f t="shared" si="41"/>
        <v>83</v>
      </c>
      <c r="W161" s="46">
        <f t="shared" si="49"/>
        <v>2.3054079999999998E-2</v>
      </c>
    </row>
    <row r="162" spans="1:23">
      <c r="A162" t="s">
        <v>183</v>
      </c>
      <c r="B162" t="s">
        <v>372</v>
      </c>
      <c r="C162" t="s">
        <v>355</v>
      </c>
      <c r="D162" t="s">
        <v>138</v>
      </c>
      <c r="E162" t="s">
        <v>343</v>
      </c>
      <c r="F162" s="28">
        <v>2.6270999999999999E-2</v>
      </c>
      <c r="G162" s="28">
        <v>0</v>
      </c>
      <c r="J162" t="str">
        <f t="shared" si="43"/>
        <v>KRISHNAPTNMDRY BULKCOASTALPESP &amp; Dredging</v>
      </c>
      <c r="K162" s="41" t="str">
        <f t="shared" si="44"/>
        <v>KRISHNAPTNM</v>
      </c>
      <c r="L162" s="41" t="str">
        <f t="shared" si="45"/>
        <v>DRY BULK</v>
      </c>
      <c r="M162" s="41" t="str">
        <f t="shared" si="46"/>
        <v>COASTAL</v>
      </c>
      <c r="N162" s="41" t="str">
        <f t="shared" si="47"/>
        <v>PESP &amp; Dredging</v>
      </c>
      <c r="O162" s="134">
        <f t="shared" si="50"/>
        <v>1</v>
      </c>
      <c r="P162" s="40">
        <f>IFERROR(VLOOKUP(J162,'Tariff Master'!G:J,2,0),0)</f>
        <v>2.6270999999999999E-2</v>
      </c>
      <c r="Q162" s="40">
        <f t="shared" si="39"/>
        <v>1</v>
      </c>
      <c r="R162" s="45">
        <f t="shared" si="48"/>
        <v>2.6270999999999999E-2</v>
      </c>
      <c r="S162" s="28">
        <f>IFERROR(VLOOKUP(J162,'Tariff Master'!G:J,3,0),0)</f>
        <v>0</v>
      </c>
      <c r="T162" s="28" t="str">
        <f>IFERROR(VLOOKUP(J162,'Tariff Master'!G:J,4,0),0)</f>
        <v>USD</v>
      </c>
      <c r="V162">
        <f t="shared" si="41"/>
        <v>83</v>
      </c>
      <c r="W162" s="46">
        <f t="shared" si="49"/>
        <v>2.1804929999999997E-7</v>
      </c>
    </row>
    <row r="163" spans="1:23">
      <c r="A163" t="s">
        <v>183</v>
      </c>
      <c r="B163" t="s">
        <v>372</v>
      </c>
      <c r="C163" t="s">
        <v>355</v>
      </c>
      <c r="D163" t="s">
        <v>138</v>
      </c>
      <c r="E163" t="s">
        <v>3</v>
      </c>
      <c r="F163" s="28">
        <v>1.2535000000000001</v>
      </c>
      <c r="G163" s="28">
        <v>0</v>
      </c>
      <c r="J163" t="str">
        <f t="shared" si="43"/>
        <v>KRISHNAPTNMDRY BULKCOASTALPilotage</v>
      </c>
      <c r="K163" s="41" t="str">
        <f t="shared" si="44"/>
        <v>KRISHNAPTNM</v>
      </c>
      <c r="L163" s="41" t="str">
        <f t="shared" si="45"/>
        <v>DRY BULK</v>
      </c>
      <c r="M163" s="41" t="str">
        <f t="shared" si="46"/>
        <v>COASTAL</v>
      </c>
      <c r="N163" s="41" t="str">
        <f t="shared" si="47"/>
        <v>Pilotage</v>
      </c>
      <c r="O163" s="134">
        <f t="shared" si="50"/>
        <v>80000</v>
      </c>
      <c r="P163" s="40">
        <f>IFERROR(VLOOKUP(J163,'Tariff Master'!G:J,2,0),0)</f>
        <v>1.526</v>
      </c>
      <c r="Q163" s="40">
        <f t="shared" si="39"/>
        <v>1</v>
      </c>
      <c r="R163" s="45">
        <f t="shared" si="48"/>
        <v>122080</v>
      </c>
      <c r="S163" s="28">
        <f>IFERROR(VLOOKUP(J163,'Tariff Master'!G:J,3,0),0)</f>
        <v>0</v>
      </c>
      <c r="T163" s="28" t="str">
        <f>IFERROR(VLOOKUP(J163,'Tariff Master'!G:J,4,0),0)</f>
        <v>USD</v>
      </c>
      <c r="V163">
        <f t="shared" si="41"/>
        <v>83</v>
      </c>
      <c r="W163" s="46">
        <f t="shared" si="49"/>
        <v>1.0132639999999999</v>
      </c>
    </row>
    <row r="164" spans="1:23">
      <c r="A164" t="s">
        <v>183</v>
      </c>
      <c r="B164" t="s">
        <v>372</v>
      </c>
      <c r="C164" t="s">
        <v>355</v>
      </c>
      <c r="D164" t="s">
        <v>138</v>
      </c>
      <c r="E164" t="s">
        <v>0</v>
      </c>
      <c r="F164" s="28">
        <v>0.09</v>
      </c>
      <c r="G164" s="28">
        <v>500</v>
      </c>
      <c r="J164" t="str">
        <f t="shared" si="43"/>
        <v>KRISHNAPTNMDRY BULKCOASTALPort Dues</v>
      </c>
      <c r="K164" s="41" t="str">
        <f t="shared" si="44"/>
        <v>KRISHNAPTNM</v>
      </c>
      <c r="L164" s="41" t="str">
        <f t="shared" si="45"/>
        <v>DRY BULK</v>
      </c>
      <c r="M164" s="41" t="str">
        <f t="shared" si="46"/>
        <v>COASTAL</v>
      </c>
      <c r="N164" s="41" t="str">
        <f t="shared" si="47"/>
        <v>Port Dues</v>
      </c>
      <c r="O164" s="134">
        <f t="shared" si="50"/>
        <v>80000</v>
      </c>
      <c r="P164" s="40">
        <f>IFERROR(VLOOKUP(J164,'Tariff Master'!G:J,2,0),0)</f>
        <v>0.09</v>
      </c>
      <c r="Q164" s="40">
        <f t="shared" si="39"/>
        <v>1</v>
      </c>
      <c r="R164" s="45">
        <f t="shared" si="48"/>
        <v>7200</v>
      </c>
      <c r="S164" s="28">
        <f>IFERROR(VLOOKUP(J164,'Tariff Master'!G:J,3,0),0)</f>
        <v>500</v>
      </c>
      <c r="T164" s="28" t="str">
        <f>IFERROR(VLOOKUP(J164,'Tariff Master'!G:J,4,0),0)</f>
        <v>USD</v>
      </c>
      <c r="V164">
        <f t="shared" si="41"/>
        <v>83</v>
      </c>
      <c r="W164" s="46">
        <f t="shared" si="49"/>
        <v>5.9760000000000001E-2</v>
      </c>
    </row>
    <row r="165" spans="1:23">
      <c r="A165" t="s">
        <v>183</v>
      </c>
      <c r="B165" t="s">
        <v>372</v>
      </c>
      <c r="C165" t="s">
        <v>355</v>
      </c>
      <c r="D165" t="s">
        <v>138</v>
      </c>
      <c r="E165" t="s">
        <v>351</v>
      </c>
      <c r="F165" s="28">
        <v>0.115</v>
      </c>
      <c r="G165" s="28">
        <v>0</v>
      </c>
      <c r="J165" t="str">
        <f t="shared" si="43"/>
        <v>KRISHNAPTNMDRY BULKCOASTALSustainability</v>
      </c>
      <c r="K165" s="41" t="str">
        <f t="shared" si="44"/>
        <v>KRISHNAPTNM</v>
      </c>
      <c r="L165" s="41" t="str">
        <f t="shared" si="45"/>
        <v>DRY BULK</v>
      </c>
      <c r="M165" s="41" t="str">
        <f t="shared" si="46"/>
        <v>COASTAL</v>
      </c>
      <c r="N165" s="41" t="str">
        <f t="shared" si="47"/>
        <v>Sustainability</v>
      </c>
      <c r="O165" s="134">
        <f t="shared" si="50"/>
        <v>80000</v>
      </c>
      <c r="P165" s="40">
        <f>IFERROR(VLOOKUP(J165,'Tariff Master'!G:J,2,0),0)</f>
        <v>0.115</v>
      </c>
      <c r="Q165" s="40">
        <f t="shared" si="39"/>
        <v>1</v>
      </c>
      <c r="R165" s="45">
        <f t="shared" si="48"/>
        <v>9200</v>
      </c>
      <c r="S165" s="28">
        <f>IFERROR(VLOOKUP(J165,'Tariff Master'!G:J,3,0),0)</f>
        <v>0</v>
      </c>
      <c r="T165" s="28" t="str">
        <f>IFERROR(VLOOKUP(J165,'Tariff Master'!G:J,4,0),0)</f>
        <v>USD</v>
      </c>
      <c r="V165">
        <f t="shared" si="41"/>
        <v>83</v>
      </c>
      <c r="W165" s="46">
        <f t="shared" si="49"/>
        <v>7.6359999999999997E-2</v>
      </c>
    </row>
    <row r="166" spans="1:23">
      <c r="A166" t="s">
        <v>183</v>
      </c>
      <c r="B166" t="s">
        <v>372</v>
      </c>
      <c r="C166" t="s">
        <v>355</v>
      </c>
      <c r="D166" t="s">
        <v>103</v>
      </c>
      <c r="E166" t="s">
        <v>7</v>
      </c>
      <c r="F166" s="28">
        <v>0.01</v>
      </c>
      <c r="G166" s="28">
        <v>500</v>
      </c>
      <c r="J166" t="str">
        <f t="shared" si="43"/>
        <v>KRISHNAPTNMDRY BULKFOREIGNBerth Hire</v>
      </c>
      <c r="K166" s="41" t="str">
        <f t="shared" si="44"/>
        <v>KRISHNAPTNM</v>
      </c>
      <c r="L166" s="41" t="str">
        <f t="shared" si="45"/>
        <v>DRY BULK</v>
      </c>
      <c r="M166" s="41" t="str">
        <f t="shared" si="46"/>
        <v>FOREIGN</v>
      </c>
      <c r="N166" s="41" t="str">
        <f t="shared" si="47"/>
        <v>Berth Hire</v>
      </c>
      <c r="O166" s="134">
        <f t="shared" si="50"/>
        <v>80000</v>
      </c>
      <c r="P166" s="40">
        <f>IFERROR(VLOOKUP(J166,'Tariff Master'!G:J,2,0),0)</f>
        <v>0.01</v>
      </c>
      <c r="Q166" s="40">
        <f t="shared" si="39"/>
        <v>23</v>
      </c>
      <c r="R166" s="45">
        <f t="shared" si="48"/>
        <v>18400</v>
      </c>
      <c r="S166" s="28">
        <f>IFERROR(VLOOKUP(J166,'Tariff Master'!G:J,3,0),0)</f>
        <v>500</v>
      </c>
      <c r="T166" s="28" t="str">
        <f>IFERROR(VLOOKUP(J166,'Tariff Master'!G:J,4,0),0)</f>
        <v>USD</v>
      </c>
      <c r="V166">
        <f t="shared" si="41"/>
        <v>83</v>
      </c>
      <c r="W166" s="46">
        <f t="shared" si="49"/>
        <v>0.15271999999999999</v>
      </c>
    </row>
    <row r="167" spans="1:23">
      <c r="A167" t="s">
        <v>183</v>
      </c>
      <c r="B167" t="s">
        <v>372</v>
      </c>
      <c r="C167" t="s">
        <v>355</v>
      </c>
      <c r="D167" t="s">
        <v>103</v>
      </c>
      <c r="E167" t="s">
        <v>4</v>
      </c>
      <c r="F167" s="28">
        <v>3.4720000000000001E-2</v>
      </c>
      <c r="G167" s="28">
        <v>200</v>
      </c>
      <c r="J167" t="str">
        <f t="shared" si="43"/>
        <v>KRISHNAPTNMDRY BULKFOREIGNMooring</v>
      </c>
      <c r="K167" s="41" t="str">
        <f t="shared" si="44"/>
        <v>KRISHNAPTNM</v>
      </c>
      <c r="L167" s="41" t="str">
        <f t="shared" si="45"/>
        <v>DRY BULK</v>
      </c>
      <c r="M167" s="41" t="str">
        <f t="shared" si="46"/>
        <v>FOREIGN</v>
      </c>
      <c r="N167" s="41" t="str">
        <f t="shared" si="47"/>
        <v>Mooring</v>
      </c>
      <c r="O167" s="134">
        <f t="shared" si="50"/>
        <v>80000</v>
      </c>
      <c r="P167" s="40">
        <f>IFERROR(VLOOKUP(J167,'Tariff Master'!G:J,2,0),0)</f>
        <v>3.4720000000000001E-2</v>
      </c>
      <c r="Q167" s="40">
        <f t="shared" si="39"/>
        <v>1</v>
      </c>
      <c r="R167" s="45">
        <f t="shared" si="48"/>
        <v>2777.6</v>
      </c>
      <c r="S167" s="28">
        <f>IFERROR(VLOOKUP(J167,'Tariff Master'!G:J,3,0),0)</f>
        <v>200</v>
      </c>
      <c r="T167" s="28" t="str">
        <f>IFERROR(VLOOKUP(J167,'Tariff Master'!G:J,4,0),0)</f>
        <v>USD</v>
      </c>
      <c r="V167">
        <f t="shared" si="41"/>
        <v>83</v>
      </c>
      <c r="W167" s="46">
        <f t="shared" si="49"/>
        <v>2.3054079999999998E-2</v>
      </c>
    </row>
    <row r="168" spans="1:23">
      <c r="A168" t="s">
        <v>183</v>
      </c>
      <c r="B168" t="s">
        <v>372</v>
      </c>
      <c r="C168" t="s">
        <v>355</v>
      </c>
      <c r="D168" t="s">
        <v>103</v>
      </c>
      <c r="E168" t="s">
        <v>343</v>
      </c>
      <c r="F168" s="28">
        <v>2.6270999999999999E-2</v>
      </c>
      <c r="G168" s="28">
        <v>0</v>
      </c>
      <c r="J168" t="str">
        <f t="shared" si="43"/>
        <v>KRISHNAPTNMDRY BULKFOREIGNPESP &amp; Dredging</v>
      </c>
      <c r="K168" s="41" t="str">
        <f t="shared" si="44"/>
        <v>KRISHNAPTNM</v>
      </c>
      <c r="L168" s="41" t="str">
        <f t="shared" si="45"/>
        <v>DRY BULK</v>
      </c>
      <c r="M168" s="41" t="str">
        <f t="shared" si="46"/>
        <v>FOREIGN</v>
      </c>
      <c r="N168" s="41" t="str">
        <f t="shared" si="47"/>
        <v>PESP &amp; Dredging</v>
      </c>
      <c r="O168" s="134">
        <f t="shared" si="50"/>
        <v>1</v>
      </c>
      <c r="P168" s="40">
        <f>IFERROR(VLOOKUP(J168,'Tariff Master'!G:J,2,0),0)</f>
        <v>2.6270999999999999E-2</v>
      </c>
      <c r="Q168" s="40">
        <f t="shared" si="39"/>
        <v>1</v>
      </c>
      <c r="R168" s="45">
        <f t="shared" si="48"/>
        <v>2.6270999999999999E-2</v>
      </c>
      <c r="S168" s="28">
        <f>IFERROR(VLOOKUP(J168,'Tariff Master'!G:J,3,0),0)</f>
        <v>0</v>
      </c>
      <c r="T168" s="28" t="str">
        <f>IFERROR(VLOOKUP(J168,'Tariff Master'!G:J,4,0),0)</f>
        <v>USD</v>
      </c>
      <c r="V168">
        <f t="shared" si="41"/>
        <v>83</v>
      </c>
      <c r="W168" s="46">
        <f t="shared" si="49"/>
        <v>2.1804929999999997E-7</v>
      </c>
    </row>
    <row r="169" spans="1:23">
      <c r="A169" t="s">
        <v>183</v>
      </c>
      <c r="B169" t="s">
        <v>372</v>
      </c>
      <c r="C169" t="s">
        <v>355</v>
      </c>
      <c r="D169" t="s">
        <v>103</v>
      </c>
      <c r="E169" t="s">
        <v>3</v>
      </c>
      <c r="F169" s="28">
        <v>1.2535000000000001</v>
      </c>
      <c r="G169" s="28">
        <v>0</v>
      </c>
      <c r="J169" t="str">
        <f t="shared" si="43"/>
        <v>KRISHNAPTNMDRY BULKFOREIGNPilotage</v>
      </c>
      <c r="K169" s="41" t="str">
        <f t="shared" si="44"/>
        <v>KRISHNAPTNM</v>
      </c>
      <c r="L169" s="41" t="str">
        <f t="shared" si="45"/>
        <v>DRY BULK</v>
      </c>
      <c r="M169" s="41" t="str">
        <f t="shared" si="46"/>
        <v>FOREIGN</v>
      </c>
      <c r="N169" s="41" t="str">
        <f t="shared" si="47"/>
        <v>Pilotage</v>
      </c>
      <c r="O169" s="134">
        <f t="shared" si="50"/>
        <v>80000</v>
      </c>
      <c r="P169" s="40">
        <f>IFERROR(VLOOKUP(J169,'Tariff Master'!G:J,2,0),0)</f>
        <v>1.526</v>
      </c>
      <c r="Q169" s="40">
        <f t="shared" si="39"/>
        <v>1</v>
      </c>
      <c r="R169" s="45">
        <f t="shared" si="48"/>
        <v>122080</v>
      </c>
      <c r="S169" s="28">
        <f>IFERROR(VLOOKUP(J169,'Tariff Master'!G:J,3,0),0)</f>
        <v>0</v>
      </c>
      <c r="T169" s="28" t="str">
        <f>IFERROR(VLOOKUP(J169,'Tariff Master'!G:J,4,0),0)</f>
        <v>USD</v>
      </c>
      <c r="V169">
        <f t="shared" si="41"/>
        <v>83</v>
      </c>
      <c r="W169" s="46">
        <f t="shared" si="49"/>
        <v>1.0132639999999999</v>
      </c>
    </row>
    <row r="170" spans="1:23">
      <c r="A170" t="s">
        <v>183</v>
      </c>
      <c r="B170" t="s">
        <v>372</v>
      </c>
      <c r="C170" t="s">
        <v>355</v>
      </c>
      <c r="D170" t="s">
        <v>103</v>
      </c>
      <c r="E170" t="s">
        <v>0</v>
      </c>
      <c r="F170" s="28">
        <v>0.2</v>
      </c>
      <c r="G170" s="28">
        <v>500</v>
      </c>
      <c r="J170" t="str">
        <f t="shared" si="43"/>
        <v>KRISHNAPTNMDRY BULKFOREIGNPort Dues</v>
      </c>
      <c r="K170" s="41" t="str">
        <f t="shared" si="44"/>
        <v>KRISHNAPTNM</v>
      </c>
      <c r="L170" s="41" t="str">
        <f t="shared" si="45"/>
        <v>DRY BULK</v>
      </c>
      <c r="M170" s="41" t="str">
        <f t="shared" si="46"/>
        <v>FOREIGN</v>
      </c>
      <c r="N170" s="41" t="str">
        <f t="shared" si="47"/>
        <v>Port Dues</v>
      </c>
      <c r="O170" s="134">
        <f t="shared" si="50"/>
        <v>80000</v>
      </c>
      <c r="P170" s="40">
        <f>IFERROR(VLOOKUP(J170,'Tariff Master'!G:J,2,0),0)</f>
        <v>0.2</v>
      </c>
      <c r="Q170" s="40">
        <f t="shared" si="39"/>
        <v>1</v>
      </c>
      <c r="R170" s="45">
        <f t="shared" si="48"/>
        <v>16000</v>
      </c>
      <c r="S170" s="28">
        <f>IFERROR(VLOOKUP(J170,'Tariff Master'!G:J,3,0),0)</f>
        <v>500</v>
      </c>
      <c r="T170" s="28" t="str">
        <f>IFERROR(VLOOKUP(J170,'Tariff Master'!G:J,4,0),0)</f>
        <v>USD</v>
      </c>
      <c r="V170">
        <f t="shared" si="41"/>
        <v>83</v>
      </c>
      <c r="W170" s="46">
        <f t="shared" si="49"/>
        <v>0.1328</v>
      </c>
    </row>
    <row r="171" spans="1:23">
      <c r="A171" t="s">
        <v>183</v>
      </c>
      <c r="B171" t="s">
        <v>372</v>
      </c>
      <c r="C171" t="s">
        <v>355</v>
      </c>
      <c r="D171" t="s">
        <v>103</v>
      </c>
      <c r="E171" t="s">
        <v>351</v>
      </c>
      <c r="F171" s="28">
        <v>0.115</v>
      </c>
      <c r="G171" s="28">
        <v>0</v>
      </c>
      <c r="J171" t="str">
        <f t="shared" si="43"/>
        <v>KRISHNAPTNMDRY BULKFOREIGNSustainability</v>
      </c>
      <c r="K171" s="41" t="str">
        <f t="shared" si="44"/>
        <v>KRISHNAPTNM</v>
      </c>
      <c r="L171" s="41" t="str">
        <f t="shared" si="45"/>
        <v>DRY BULK</v>
      </c>
      <c r="M171" s="41" t="str">
        <f t="shared" si="46"/>
        <v>FOREIGN</v>
      </c>
      <c r="N171" s="41" t="str">
        <f t="shared" si="47"/>
        <v>Sustainability</v>
      </c>
      <c r="O171" s="134">
        <f t="shared" si="50"/>
        <v>80000</v>
      </c>
      <c r="P171" s="40">
        <f>IFERROR(VLOOKUP(J171,'Tariff Master'!G:J,2,0),0)</f>
        <v>0.115</v>
      </c>
      <c r="Q171" s="40">
        <f t="shared" si="39"/>
        <v>1</v>
      </c>
      <c r="R171" s="45">
        <f t="shared" si="48"/>
        <v>9200</v>
      </c>
      <c r="S171" s="28">
        <f>IFERROR(VLOOKUP(J171,'Tariff Master'!G:J,3,0),0)</f>
        <v>0</v>
      </c>
      <c r="T171" s="28" t="str">
        <f>IFERROR(VLOOKUP(J171,'Tariff Master'!G:J,4,0),0)</f>
        <v>USD</v>
      </c>
      <c r="V171">
        <f t="shared" si="41"/>
        <v>83</v>
      </c>
      <c r="W171" s="46">
        <f t="shared" si="49"/>
        <v>7.6359999999999997E-2</v>
      </c>
    </row>
    <row r="172" spans="1:23">
      <c r="A172" t="s">
        <v>183</v>
      </c>
      <c r="B172" t="s">
        <v>372</v>
      </c>
      <c r="C172" t="s">
        <v>140</v>
      </c>
      <c r="D172" t="s">
        <v>138</v>
      </c>
      <c r="E172" t="s">
        <v>7</v>
      </c>
      <c r="F172" s="28">
        <v>0.01</v>
      </c>
      <c r="G172" s="28">
        <v>500</v>
      </c>
      <c r="J172" t="str">
        <f t="shared" si="43"/>
        <v>KRISHNAPTNMTANKERCOASTALBerth Hire</v>
      </c>
      <c r="K172" s="41" t="str">
        <f t="shared" si="44"/>
        <v>KRISHNAPTNM</v>
      </c>
      <c r="L172" s="41" t="str">
        <f t="shared" si="45"/>
        <v>TANKER</v>
      </c>
      <c r="M172" s="41" t="str">
        <f t="shared" si="46"/>
        <v>COASTAL</v>
      </c>
      <c r="N172" s="41" t="str">
        <f t="shared" si="47"/>
        <v>Berth Hire</v>
      </c>
      <c r="O172" s="134">
        <f t="shared" si="50"/>
        <v>80000</v>
      </c>
      <c r="P172" s="40">
        <f>IFERROR(VLOOKUP(J172,'Tariff Master'!G:J,2,0),0)</f>
        <v>0.01</v>
      </c>
      <c r="Q172" s="40">
        <f t="shared" si="39"/>
        <v>23</v>
      </c>
      <c r="R172" s="45">
        <f t="shared" si="48"/>
        <v>18400</v>
      </c>
      <c r="S172" s="28">
        <f>IFERROR(VLOOKUP(J172,'Tariff Master'!G:J,3,0),0)</f>
        <v>500</v>
      </c>
      <c r="T172" s="28" t="str">
        <f>IFERROR(VLOOKUP(J172,'Tariff Master'!G:J,4,0),0)</f>
        <v>USD</v>
      </c>
      <c r="V172">
        <f t="shared" si="41"/>
        <v>83</v>
      </c>
      <c r="W172" s="46">
        <f t="shared" si="49"/>
        <v>0.15271999999999999</v>
      </c>
    </row>
    <row r="173" spans="1:23">
      <c r="A173" t="s">
        <v>183</v>
      </c>
      <c r="B173" t="s">
        <v>372</v>
      </c>
      <c r="C173" t="s">
        <v>140</v>
      </c>
      <c r="D173" t="s">
        <v>138</v>
      </c>
      <c r="E173" t="s">
        <v>4</v>
      </c>
      <c r="F173" s="28">
        <v>3.4720000000000001E-2</v>
      </c>
      <c r="G173" s="28">
        <v>200</v>
      </c>
      <c r="J173" t="str">
        <f t="shared" si="43"/>
        <v>KRISHNAPTNMTANKERCOASTALMooring</v>
      </c>
      <c r="K173" s="41" t="str">
        <f t="shared" si="44"/>
        <v>KRISHNAPTNM</v>
      </c>
      <c r="L173" s="41" t="str">
        <f t="shared" si="45"/>
        <v>TANKER</v>
      </c>
      <c r="M173" s="41" t="str">
        <f t="shared" si="46"/>
        <v>COASTAL</v>
      </c>
      <c r="N173" s="41" t="str">
        <f t="shared" si="47"/>
        <v>Mooring</v>
      </c>
      <c r="O173" s="134">
        <f t="shared" si="50"/>
        <v>80000</v>
      </c>
      <c r="P173" s="40">
        <f>IFERROR(VLOOKUP(J173,'Tariff Master'!G:J,2,0),0)</f>
        <v>3.4720000000000001E-2</v>
      </c>
      <c r="Q173" s="40">
        <f t="shared" ref="Q173:Q180" si="51">IF(N173="Berth Hire",$X$2,1)</f>
        <v>1</v>
      </c>
      <c r="R173" s="45">
        <f t="shared" si="48"/>
        <v>2777.6</v>
      </c>
      <c r="S173" s="28">
        <f>IFERROR(VLOOKUP(J173,'Tariff Master'!G:J,3,0),0)</f>
        <v>200</v>
      </c>
      <c r="T173" s="28" t="str">
        <f>IFERROR(VLOOKUP(J173,'Tariff Master'!G:J,4,0),0)</f>
        <v>USD</v>
      </c>
      <c r="V173">
        <f t="shared" ref="V173:V201" si="52">$X$3</f>
        <v>83</v>
      </c>
      <c r="W173" s="46">
        <f t="shared" si="49"/>
        <v>2.3054079999999998E-2</v>
      </c>
    </row>
    <row r="174" spans="1:23">
      <c r="A174" t="s">
        <v>183</v>
      </c>
      <c r="B174" t="s">
        <v>372</v>
      </c>
      <c r="C174" t="s">
        <v>140</v>
      </c>
      <c r="D174" t="s">
        <v>138</v>
      </c>
      <c r="E174" t="s">
        <v>343</v>
      </c>
      <c r="F174" s="28">
        <v>2.6270999999999999E-2</v>
      </c>
      <c r="G174" s="28">
        <v>0</v>
      </c>
      <c r="J174" t="str">
        <f t="shared" si="43"/>
        <v>KRISHNAPTNMTANKERCOASTALPESP &amp; Dredging</v>
      </c>
      <c r="K174" s="41" t="str">
        <f t="shared" si="44"/>
        <v>KRISHNAPTNM</v>
      </c>
      <c r="L174" s="41" t="str">
        <f t="shared" si="45"/>
        <v>TANKER</v>
      </c>
      <c r="M174" s="41" t="str">
        <f t="shared" si="46"/>
        <v>COASTAL</v>
      </c>
      <c r="N174" s="41" t="str">
        <f t="shared" si="47"/>
        <v>PESP &amp; Dredging</v>
      </c>
      <c r="O174" s="134">
        <f t="shared" si="50"/>
        <v>1</v>
      </c>
      <c r="P174" s="40">
        <f>IFERROR(VLOOKUP(J174,'Tariff Master'!G:J,2,0),0)</f>
        <v>2.6270999999999999E-2</v>
      </c>
      <c r="Q174" s="40">
        <f t="shared" si="51"/>
        <v>1</v>
      </c>
      <c r="R174" s="45">
        <f t="shared" si="48"/>
        <v>2.6270999999999999E-2</v>
      </c>
      <c r="S174" s="28">
        <f>IFERROR(VLOOKUP(J174,'Tariff Master'!G:J,3,0),0)</f>
        <v>0</v>
      </c>
      <c r="T174" s="28" t="str">
        <f>IFERROR(VLOOKUP(J174,'Tariff Master'!G:J,4,0),0)</f>
        <v>USD</v>
      </c>
      <c r="V174">
        <f t="shared" si="52"/>
        <v>83</v>
      </c>
      <c r="W174" s="46">
        <f t="shared" si="49"/>
        <v>2.1804929999999997E-7</v>
      </c>
    </row>
    <row r="175" spans="1:23">
      <c r="A175" t="s">
        <v>183</v>
      </c>
      <c r="B175" t="s">
        <v>372</v>
      </c>
      <c r="C175" t="s">
        <v>140</v>
      </c>
      <c r="D175" t="s">
        <v>138</v>
      </c>
      <c r="E175" t="s">
        <v>3</v>
      </c>
      <c r="F175" s="28">
        <v>1.2535000000000001</v>
      </c>
      <c r="G175" s="28">
        <v>0</v>
      </c>
      <c r="J175" t="str">
        <f t="shared" si="43"/>
        <v>KRISHNAPTNMTANKERCOASTALPilotage</v>
      </c>
      <c r="K175" s="41" t="str">
        <f t="shared" si="44"/>
        <v>KRISHNAPTNM</v>
      </c>
      <c r="L175" s="41" t="str">
        <f t="shared" si="45"/>
        <v>TANKER</v>
      </c>
      <c r="M175" s="41" t="str">
        <f t="shared" si="46"/>
        <v>COASTAL</v>
      </c>
      <c r="N175" s="41" t="str">
        <f t="shared" si="47"/>
        <v>Pilotage</v>
      </c>
      <c r="O175" s="134">
        <f t="shared" si="50"/>
        <v>80000</v>
      </c>
      <c r="P175" s="40">
        <f>IFERROR(VLOOKUP(J175,'Tariff Master'!G:J,2,0),0)</f>
        <v>1.526</v>
      </c>
      <c r="Q175" s="40">
        <f t="shared" si="51"/>
        <v>1</v>
      </c>
      <c r="R175" s="45">
        <f t="shared" si="48"/>
        <v>122080</v>
      </c>
      <c r="S175" s="28">
        <f>IFERROR(VLOOKUP(J175,'Tariff Master'!G:J,3,0),0)</f>
        <v>0</v>
      </c>
      <c r="T175" s="28" t="str">
        <f>IFERROR(VLOOKUP(J175,'Tariff Master'!G:J,4,0),0)</f>
        <v>USD</v>
      </c>
      <c r="V175">
        <f t="shared" si="52"/>
        <v>83</v>
      </c>
      <c r="W175" s="46">
        <f t="shared" si="49"/>
        <v>1.0132639999999999</v>
      </c>
    </row>
    <row r="176" spans="1:23">
      <c r="A176" t="s">
        <v>183</v>
      </c>
      <c r="B176" t="s">
        <v>372</v>
      </c>
      <c r="C176" t="s">
        <v>140</v>
      </c>
      <c r="D176" t="s">
        <v>138</v>
      </c>
      <c r="E176" t="s">
        <v>0</v>
      </c>
      <c r="F176" s="28">
        <v>0.09</v>
      </c>
      <c r="G176" s="28">
        <v>500</v>
      </c>
      <c r="J176" t="str">
        <f t="shared" si="43"/>
        <v>KRISHNAPTNMTANKERCOASTALPort Dues</v>
      </c>
      <c r="K176" s="41" t="str">
        <f t="shared" si="44"/>
        <v>KRISHNAPTNM</v>
      </c>
      <c r="L176" s="41" t="str">
        <f t="shared" si="45"/>
        <v>TANKER</v>
      </c>
      <c r="M176" s="41" t="str">
        <f t="shared" si="46"/>
        <v>COASTAL</v>
      </c>
      <c r="N176" s="41" t="str">
        <f t="shared" si="47"/>
        <v>Port Dues</v>
      </c>
      <c r="O176" s="134">
        <f t="shared" ref="O176:O180" si="53">IF(N176="PESP &amp; Dredging",1,$X$1)</f>
        <v>80000</v>
      </c>
      <c r="P176" s="40">
        <f>IFERROR(VLOOKUP(J176,'Tariff Master'!G:J,2,0),0)</f>
        <v>0.09</v>
      </c>
      <c r="Q176" s="40">
        <f t="shared" si="51"/>
        <v>1</v>
      </c>
      <c r="R176" s="45">
        <f t="shared" si="48"/>
        <v>7200</v>
      </c>
      <c r="S176" s="28">
        <f>IFERROR(VLOOKUP(J176,'Tariff Master'!G:J,3,0),0)</f>
        <v>500</v>
      </c>
      <c r="T176" s="28" t="str">
        <f>IFERROR(VLOOKUP(J176,'Tariff Master'!G:J,4,0),0)</f>
        <v>USD</v>
      </c>
      <c r="V176">
        <f t="shared" si="52"/>
        <v>83</v>
      </c>
      <c r="W176" s="46">
        <f t="shared" si="49"/>
        <v>5.9760000000000001E-2</v>
      </c>
    </row>
    <row r="177" spans="1:23">
      <c r="A177" t="s">
        <v>183</v>
      </c>
      <c r="B177" t="s">
        <v>372</v>
      </c>
      <c r="C177" t="s">
        <v>140</v>
      </c>
      <c r="D177" t="s">
        <v>138</v>
      </c>
      <c r="E177" t="s">
        <v>351</v>
      </c>
      <c r="F177" s="28">
        <v>0.115</v>
      </c>
      <c r="G177" s="28">
        <v>0</v>
      </c>
      <c r="J177" t="str">
        <f t="shared" si="43"/>
        <v>KRISHNAPTNMTANKERCOASTALSustainability</v>
      </c>
      <c r="K177" s="41" t="str">
        <f t="shared" si="44"/>
        <v>KRISHNAPTNM</v>
      </c>
      <c r="L177" s="41" t="str">
        <f t="shared" si="45"/>
        <v>TANKER</v>
      </c>
      <c r="M177" s="41" t="str">
        <f t="shared" si="46"/>
        <v>COASTAL</v>
      </c>
      <c r="N177" s="41" t="str">
        <f t="shared" si="47"/>
        <v>Sustainability</v>
      </c>
      <c r="O177" s="134">
        <f t="shared" si="53"/>
        <v>80000</v>
      </c>
      <c r="P177" s="40">
        <f>IFERROR(VLOOKUP(J177,'Tariff Master'!G:J,2,0),0)</f>
        <v>0.115</v>
      </c>
      <c r="Q177" s="40">
        <f t="shared" si="51"/>
        <v>1</v>
      </c>
      <c r="R177" s="45">
        <f t="shared" si="48"/>
        <v>9200</v>
      </c>
      <c r="S177" s="28">
        <f>IFERROR(VLOOKUP(J177,'Tariff Master'!G:J,3,0),0)</f>
        <v>0</v>
      </c>
      <c r="T177" s="28" t="str">
        <f>IFERROR(VLOOKUP(J177,'Tariff Master'!G:J,4,0),0)</f>
        <v>USD</v>
      </c>
      <c r="V177">
        <f t="shared" si="52"/>
        <v>83</v>
      </c>
      <c r="W177" s="46">
        <f t="shared" si="49"/>
        <v>7.6359999999999997E-2</v>
      </c>
    </row>
    <row r="178" spans="1:23">
      <c r="A178" t="s">
        <v>183</v>
      </c>
      <c r="B178" t="s">
        <v>372</v>
      </c>
      <c r="C178" t="s">
        <v>140</v>
      </c>
      <c r="D178" t="s">
        <v>103</v>
      </c>
      <c r="E178" t="s">
        <v>7</v>
      </c>
      <c r="F178" s="28">
        <v>0.01</v>
      </c>
      <c r="G178" s="28">
        <v>500</v>
      </c>
      <c r="J178" t="str">
        <f t="shared" si="43"/>
        <v>KRISHNAPTNMTANKERFOREIGNBerth Hire</v>
      </c>
      <c r="K178" s="41" t="str">
        <f t="shared" si="44"/>
        <v>KRISHNAPTNM</v>
      </c>
      <c r="L178" s="41" t="str">
        <f t="shared" si="45"/>
        <v>TANKER</v>
      </c>
      <c r="M178" s="41" t="str">
        <f t="shared" si="46"/>
        <v>FOREIGN</v>
      </c>
      <c r="N178" s="41" t="str">
        <f t="shared" si="47"/>
        <v>Berth Hire</v>
      </c>
      <c r="O178" s="134">
        <f t="shared" si="53"/>
        <v>80000</v>
      </c>
      <c r="P178" s="40">
        <f>IFERROR(VLOOKUP(J178,'Tariff Master'!G:J,2,0),0)</f>
        <v>0.01</v>
      </c>
      <c r="Q178" s="40">
        <f t="shared" si="51"/>
        <v>23</v>
      </c>
      <c r="R178" s="45">
        <f t="shared" si="48"/>
        <v>18400</v>
      </c>
      <c r="S178" s="28">
        <f>IFERROR(VLOOKUP(J178,'Tariff Master'!G:J,3,0),0)</f>
        <v>500</v>
      </c>
      <c r="T178" s="28" t="str">
        <f>IFERROR(VLOOKUP(J178,'Tariff Master'!G:J,4,0),0)</f>
        <v>USD</v>
      </c>
      <c r="V178">
        <f t="shared" si="52"/>
        <v>83</v>
      </c>
      <c r="W178" s="46">
        <f t="shared" si="49"/>
        <v>0.15271999999999999</v>
      </c>
    </row>
    <row r="179" spans="1:23">
      <c r="A179" t="s">
        <v>183</v>
      </c>
      <c r="B179" t="s">
        <v>372</v>
      </c>
      <c r="C179" t="s">
        <v>140</v>
      </c>
      <c r="D179" t="s">
        <v>103</v>
      </c>
      <c r="E179" t="s">
        <v>4</v>
      </c>
      <c r="F179" s="28">
        <v>3.4720000000000001E-2</v>
      </c>
      <c r="G179" s="28">
        <v>200</v>
      </c>
      <c r="J179" t="str">
        <f t="shared" si="43"/>
        <v>KRISHNAPTNMTANKERFOREIGNMooring</v>
      </c>
      <c r="K179" s="41" t="str">
        <f t="shared" si="44"/>
        <v>KRISHNAPTNM</v>
      </c>
      <c r="L179" s="41" t="str">
        <f t="shared" si="45"/>
        <v>TANKER</v>
      </c>
      <c r="M179" s="41" t="str">
        <f t="shared" si="46"/>
        <v>FOREIGN</v>
      </c>
      <c r="N179" s="41" t="str">
        <f t="shared" si="47"/>
        <v>Mooring</v>
      </c>
      <c r="O179" s="134">
        <f t="shared" si="53"/>
        <v>80000</v>
      </c>
      <c r="P179" s="40">
        <f>IFERROR(VLOOKUP(J179,'Tariff Master'!G:J,2,0),0)</f>
        <v>3.4720000000000001E-2</v>
      </c>
      <c r="Q179" s="40">
        <f t="shared" si="51"/>
        <v>1</v>
      </c>
      <c r="R179" s="45">
        <f t="shared" si="48"/>
        <v>2777.6</v>
      </c>
      <c r="S179" s="28">
        <f>IFERROR(VLOOKUP(J179,'Tariff Master'!G:J,3,0),0)</f>
        <v>200</v>
      </c>
      <c r="T179" s="28" t="str">
        <f>IFERROR(VLOOKUP(J179,'Tariff Master'!G:J,4,0),0)</f>
        <v>USD</v>
      </c>
      <c r="V179">
        <f t="shared" si="52"/>
        <v>83</v>
      </c>
      <c r="W179" s="46">
        <f t="shared" si="49"/>
        <v>2.3054079999999998E-2</v>
      </c>
    </row>
    <row r="180" spans="1:23">
      <c r="A180" t="s">
        <v>183</v>
      </c>
      <c r="B180" t="s">
        <v>372</v>
      </c>
      <c r="C180" t="s">
        <v>140</v>
      </c>
      <c r="D180" t="s">
        <v>103</v>
      </c>
      <c r="E180" t="s">
        <v>343</v>
      </c>
      <c r="F180" s="28">
        <v>2.6270999999999999E-2</v>
      </c>
      <c r="G180" s="28">
        <v>0</v>
      </c>
      <c r="J180" t="str">
        <f t="shared" si="43"/>
        <v>KRISHNAPTNMTANKERFOREIGNPESP &amp; Dredging</v>
      </c>
      <c r="K180" s="41" t="str">
        <f t="shared" si="44"/>
        <v>KRISHNAPTNM</v>
      </c>
      <c r="L180" s="41" t="str">
        <f t="shared" si="45"/>
        <v>TANKER</v>
      </c>
      <c r="M180" s="41" t="str">
        <f t="shared" si="46"/>
        <v>FOREIGN</v>
      </c>
      <c r="N180" s="41" t="str">
        <f t="shared" si="47"/>
        <v>PESP &amp; Dredging</v>
      </c>
      <c r="O180" s="134">
        <f t="shared" si="53"/>
        <v>1</v>
      </c>
      <c r="P180" s="40">
        <f>IFERROR(VLOOKUP(J180,'Tariff Master'!G:J,2,0),0)</f>
        <v>2.6270999999999999E-2</v>
      </c>
      <c r="Q180" s="40">
        <f t="shared" si="51"/>
        <v>1</v>
      </c>
      <c r="R180" s="45">
        <f t="shared" si="48"/>
        <v>2.6270999999999999E-2</v>
      </c>
      <c r="S180" s="28">
        <f>IFERROR(VLOOKUP(J180,'Tariff Master'!G:J,3,0),0)</f>
        <v>0</v>
      </c>
      <c r="T180" s="28" t="str">
        <f>IFERROR(VLOOKUP(J180,'Tariff Master'!G:J,4,0),0)</f>
        <v>USD</v>
      </c>
      <c r="V180">
        <f t="shared" si="52"/>
        <v>83</v>
      </c>
      <c r="W180" s="46">
        <f t="shared" si="49"/>
        <v>2.1804929999999997E-7</v>
      </c>
    </row>
    <row r="181" spans="1:23">
      <c r="A181" t="s">
        <v>183</v>
      </c>
      <c r="B181" t="s">
        <v>372</v>
      </c>
      <c r="C181" t="s">
        <v>140</v>
      </c>
      <c r="D181" t="s">
        <v>103</v>
      </c>
      <c r="E181" t="s">
        <v>3</v>
      </c>
      <c r="F181" s="28">
        <v>1.2535000000000001</v>
      </c>
      <c r="G181" s="28">
        <v>0</v>
      </c>
      <c r="J181" t="str">
        <f t="shared" ref="J181:J201" si="54">K181&amp;L181&amp;M181&amp;N181</f>
        <v>KRISHNAPTNMTANKERFOREIGNPilotage</v>
      </c>
      <c r="K181" s="41" t="str">
        <f t="shared" ref="K181:K201" si="55">B181</f>
        <v>KRISHNAPTNM</v>
      </c>
      <c r="L181" s="41" t="str">
        <f t="shared" ref="L181:L201" si="56">C181</f>
        <v>TANKER</v>
      </c>
      <c r="M181" s="41" t="str">
        <f t="shared" ref="M181:M201" si="57">D181</f>
        <v>FOREIGN</v>
      </c>
      <c r="N181" s="41" t="str">
        <f t="shared" ref="N181:N201" si="58">E181</f>
        <v>Pilotage</v>
      </c>
      <c r="O181" s="134">
        <f t="shared" ref="O181:O201" si="59">IF(N181="PESP &amp; Dredging",1,$X$1)</f>
        <v>80000</v>
      </c>
      <c r="P181" s="40">
        <f>IFERROR(VLOOKUP(J181,'Tariff Master'!G:J,2,0),0)</f>
        <v>1.526</v>
      </c>
      <c r="Q181" s="40">
        <f t="shared" ref="Q181:Q201" si="60">IF(N181="Berth Hire",$X$2,1)</f>
        <v>1</v>
      </c>
      <c r="R181" s="45">
        <f t="shared" ref="R181:R201" si="61">MAX(O181*P181*IF(N181="Berth Hire",Q181,1),S181)</f>
        <v>122080</v>
      </c>
      <c r="S181" s="28">
        <f>IFERROR(VLOOKUP(J181,'Tariff Master'!G:J,3,0),0)</f>
        <v>0</v>
      </c>
      <c r="T181" s="28" t="str">
        <f>IFERROR(VLOOKUP(J181,'Tariff Master'!G:J,4,0),0)</f>
        <v>USD</v>
      </c>
      <c r="V181">
        <f t="shared" si="52"/>
        <v>83</v>
      </c>
      <c r="W181" s="46">
        <f t="shared" ref="W181:W201" si="62">R181*IF(T181="USD",V181,1)/10^7</f>
        <v>1.0132639999999999</v>
      </c>
    </row>
    <row r="182" spans="1:23">
      <c r="A182" t="s">
        <v>183</v>
      </c>
      <c r="B182" t="s">
        <v>372</v>
      </c>
      <c r="C182" t="s">
        <v>140</v>
      </c>
      <c r="D182" t="s">
        <v>103</v>
      </c>
      <c r="E182" t="s">
        <v>0</v>
      </c>
      <c r="F182" s="28">
        <v>0.2</v>
      </c>
      <c r="G182" s="28">
        <v>500</v>
      </c>
      <c r="J182" t="str">
        <f t="shared" si="54"/>
        <v>KRISHNAPTNMTANKERFOREIGNPort Dues</v>
      </c>
      <c r="K182" s="41" t="str">
        <f t="shared" si="55"/>
        <v>KRISHNAPTNM</v>
      </c>
      <c r="L182" s="41" t="str">
        <f t="shared" si="56"/>
        <v>TANKER</v>
      </c>
      <c r="M182" s="41" t="str">
        <f t="shared" si="57"/>
        <v>FOREIGN</v>
      </c>
      <c r="N182" s="41" t="str">
        <f t="shared" si="58"/>
        <v>Port Dues</v>
      </c>
      <c r="O182" s="134">
        <f t="shared" si="59"/>
        <v>80000</v>
      </c>
      <c r="P182" s="40">
        <f>IFERROR(VLOOKUP(J182,'Tariff Master'!G:J,2,0),0)</f>
        <v>0.2</v>
      </c>
      <c r="Q182" s="40">
        <f t="shared" si="60"/>
        <v>1</v>
      </c>
      <c r="R182" s="45">
        <f t="shared" si="61"/>
        <v>16000</v>
      </c>
      <c r="S182" s="28">
        <f>IFERROR(VLOOKUP(J182,'Tariff Master'!G:J,3,0),0)</f>
        <v>500</v>
      </c>
      <c r="T182" s="28" t="str">
        <f>IFERROR(VLOOKUP(J182,'Tariff Master'!G:J,4,0),0)</f>
        <v>USD</v>
      </c>
      <c r="V182">
        <f t="shared" si="52"/>
        <v>83</v>
      </c>
      <c r="W182" s="46">
        <f t="shared" si="62"/>
        <v>0.1328</v>
      </c>
    </row>
    <row r="183" spans="1:23">
      <c r="A183" t="s">
        <v>183</v>
      </c>
      <c r="B183" t="s">
        <v>372</v>
      </c>
      <c r="C183" t="s">
        <v>140</v>
      </c>
      <c r="D183" t="s">
        <v>103</v>
      </c>
      <c r="E183" t="s">
        <v>351</v>
      </c>
      <c r="F183" s="28">
        <v>0.115</v>
      </c>
      <c r="G183" s="28">
        <v>0</v>
      </c>
      <c r="J183" t="str">
        <f t="shared" si="54"/>
        <v>KRISHNAPTNMTANKERFOREIGNSustainability</v>
      </c>
      <c r="K183" s="41" t="str">
        <f t="shared" si="55"/>
        <v>KRISHNAPTNM</v>
      </c>
      <c r="L183" s="41" t="str">
        <f t="shared" si="56"/>
        <v>TANKER</v>
      </c>
      <c r="M183" s="41" t="str">
        <f t="shared" si="57"/>
        <v>FOREIGN</v>
      </c>
      <c r="N183" s="41" t="str">
        <f t="shared" si="58"/>
        <v>Sustainability</v>
      </c>
      <c r="O183" s="134">
        <f t="shared" si="59"/>
        <v>80000</v>
      </c>
      <c r="P183" s="40">
        <f>IFERROR(VLOOKUP(J183,'Tariff Master'!G:J,2,0),0)</f>
        <v>0.115</v>
      </c>
      <c r="Q183" s="40">
        <f t="shared" si="60"/>
        <v>1</v>
      </c>
      <c r="R183" s="45">
        <f t="shared" si="61"/>
        <v>9200</v>
      </c>
      <c r="S183" s="28">
        <f>IFERROR(VLOOKUP(J183,'Tariff Master'!G:J,3,0),0)</f>
        <v>0</v>
      </c>
      <c r="T183" s="28" t="str">
        <f>IFERROR(VLOOKUP(J183,'Tariff Master'!G:J,4,0),0)</f>
        <v>USD</v>
      </c>
      <c r="V183">
        <f t="shared" si="52"/>
        <v>83</v>
      </c>
      <c r="W183" s="46">
        <f t="shared" si="62"/>
        <v>7.6359999999999997E-2</v>
      </c>
    </row>
    <row r="184" spans="1:23">
      <c r="A184" t="s">
        <v>183</v>
      </c>
      <c r="B184" t="s">
        <v>372</v>
      </c>
      <c r="C184" t="s">
        <v>373</v>
      </c>
      <c r="D184" t="s">
        <v>138</v>
      </c>
      <c r="E184" t="s">
        <v>7</v>
      </c>
      <c r="F184" s="28">
        <v>5.0000000000000001E-3</v>
      </c>
      <c r="G184" s="28">
        <v>500</v>
      </c>
      <c r="J184" t="str">
        <f t="shared" si="54"/>
        <v>KRISHNAPTNMBREAK BULKCOASTALBerth Hire</v>
      </c>
      <c r="K184" s="41" t="str">
        <f t="shared" si="55"/>
        <v>KRISHNAPTNM</v>
      </c>
      <c r="L184" s="41" t="str">
        <f t="shared" si="56"/>
        <v>BREAK BULK</v>
      </c>
      <c r="M184" s="41" t="str">
        <f t="shared" si="57"/>
        <v>COASTAL</v>
      </c>
      <c r="N184" s="41" t="str">
        <f t="shared" si="58"/>
        <v>Berth Hire</v>
      </c>
      <c r="O184" s="134">
        <f t="shared" si="59"/>
        <v>80000</v>
      </c>
      <c r="P184" s="40">
        <f>IFERROR(VLOOKUP(J184,'Tariff Master'!G:J,2,0),0)</f>
        <v>5.0000000000000001E-3</v>
      </c>
      <c r="Q184" s="40">
        <f t="shared" si="60"/>
        <v>23</v>
      </c>
      <c r="R184" s="45">
        <f t="shared" si="61"/>
        <v>9200</v>
      </c>
      <c r="S184" s="28">
        <f>IFERROR(VLOOKUP(J184,'Tariff Master'!G:J,3,0),0)</f>
        <v>500</v>
      </c>
      <c r="T184" s="28" t="str">
        <f>IFERROR(VLOOKUP(J184,'Tariff Master'!G:J,4,0),0)</f>
        <v>USD</v>
      </c>
      <c r="V184">
        <f t="shared" si="52"/>
        <v>83</v>
      </c>
      <c r="W184" s="46">
        <f t="shared" si="62"/>
        <v>7.6359999999999997E-2</v>
      </c>
    </row>
    <row r="185" spans="1:23">
      <c r="A185" t="s">
        <v>183</v>
      </c>
      <c r="B185" t="s">
        <v>372</v>
      </c>
      <c r="C185" t="s">
        <v>373</v>
      </c>
      <c r="D185" t="s">
        <v>138</v>
      </c>
      <c r="E185" t="s">
        <v>4</v>
      </c>
      <c r="F185" s="28">
        <v>3.4720000000000001E-2</v>
      </c>
      <c r="G185" s="28">
        <v>200</v>
      </c>
      <c r="J185" t="str">
        <f t="shared" si="54"/>
        <v>KRISHNAPTNMBREAK BULKCOASTALMooring</v>
      </c>
      <c r="K185" s="41" t="str">
        <f t="shared" si="55"/>
        <v>KRISHNAPTNM</v>
      </c>
      <c r="L185" s="41" t="str">
        <f t="shared" si="56"/>
        <v>BREAK BULK</v>
      </c>
      <c r="M185" s="41" t="str">
        <f t="shared" si="57"/>
        <v>COASTAL</v>
      </c>
      <c r="N185" s="41" t="str">
        <f t="shared" si="58"/>
        <v>Mooring</v>
      </c>
      <c r="O185" s="134">
        <f t="shared" si="59"/>
        <v>80000</v>
      </c>
      <c r="P185" s="40">
        <f>IFERROR(VLOOKUP(J185,'Tariff Master'!G:J,2,0),0)</f>
        <v>3.4720000000000001E-2</v>
      </c>
      <c r="Q185" s="40">
        <f t="shared" si="60"/>
        <v>1</v>
      </c>
      <c r="R185" s="45">
        <f t="shared" si="61"/>
        <v>2777.6</v>
      </c>
      <c r="S185" s="28">
        <f>IFERROR(VLOOKUP(J185,'Tariff Master'!G:J,3,0),0)</f>
        <v>200</v>
      </c>
      <c r="T185" s="28" t="str">
        <f>IFERROR(VLOOKUP(J185,'Tariff Master'!G:J,4,0),0)</f>
        <v>USD</v>
      </c>
      <c r="V185">
        <f t="shared" si="52"/>
        <v>83</v>
      </c>
      <c r="W185" s="46">
        <f t="shared" si="62"/>
        <v>2.3054079999999998E-2</v>
      </c>
    </row>
    <row r="186" spans="1:23">
      <c r="A186" t="s">
        <v>183</v>
      </c>
      <c r="B186" t="s">
        <v>372</v>
      </c>
      <c r="C186" t="s">
        <v>373</v>
      </c>
      <c r="D186" t="s">
        <v>138</v>
      </c>
      <c r="E186" t="s">
        <v>343</v>
      </c>
      <c r="F186" s="28">
        <v>2.6270999999999999E-2</v>
      </c>
      <c r="G186" s="28">
        <v>0</v>
      </c>
      <c r="J186" t="str">
        <f t="shared" si="54"/>
        <v>KRISHNAPTNMBREAK BULKCOASTALPESP &amp; Dredging</v>
      </c>
      <c r="K186" s="41" t="str">
        <f t="shared" si="55"/>
        <v>KRISHNAPTNM</v>
      </c>
      <c r="L186" s="41" t="str">
        <f t="shared" si="56"/>
        <v>BREAK BULK</v>
      </c>
      <c r="M186" s="41" t="str">
        <f t="shared" si="57"/>
        <v>COASTAL</v>
      </c>
      <c r="N186" s="41" t="str">
        <f t="shared" si="58"/>
        <v>PESP &amp; Dredging</v>
      </c>
      <c r="O186" s="134">
        <f t="shared" si="59"/>
        <v>1</v>
      </c>
      <c r="P186" s="40">
        <f>IFERROR(VLOOKUP(J186,'Tariff Master'!G:J,2,0),0)</f>
        <v>2.6270999999999999E-2</v>
      </c>
      <c r="Q186" s="40">
        <f t="shared" si="60"/>
        <v>1</v>
      </c>
      <c r="R186" s="45">
        <f t="shared" si="61"/>
        <v>2.6270999999999999E-2</v>
      </c>
      <c r="S186" s="28">
        <f>IFERROR(VLOOKUP(J186,'Tariff Master'!G:J,3,0),0)</f>
        <v>0</v>
      </c>
      <c r="T186" s="28" t="str">
        <f>IFERROR(VLOOKUP(J186,'Tariff Master'!G:J,4,0),0)</f>
        <v>USD</v>
      </c>
      <c r="V186">
        <f t="shared" si="52"/>
        <v>83</v>
      </c>
      <c r="W186" s="46">
        <f t="shared" si="62"/>
        <v>2.1804929999999997E-7</v>
      </c>
    </row>
    <row r="187" spans="1:23">
      <c r="A187" t="s">
        <v>183</v>
      </c>
      <c r="B187" t="s">
        <v>372</v>
      </c>
      <c r="C187" t="s">
        <v>373</v>
      </c>
      <c r="D187" t="s">
        <v>138</v>
      </c>
      <c r="E187" t="s">
        <v>3</v>
      </c>
      <c r="F187" s="28">
        <v>1.2535000000000001</v>
      </c>
      <c r="G187" s="28">
        <v>0</v>
      </c>
      <c r="J187" t="str">
        <f t="shared" si="54"/>
        <v>KRISHNAPTNMBREAK BULKCOASTALPilotage</v>
      </c>
      <c r="K187" s="41" t="str">
        <f t="shared" si="55"/>
        <v>KRISHNAPTNM</v>
      </c>
      <c r="L187" s="41" t="str">
        <f t="shared" si="56"/>
        <v>BREAK BULK</v>
      </c>
      <c r="M187" s="41" t="str">
        <f t="shared" si="57"/>
        <v>COASTAL</v>
      </c>
      <c r="N187" s="41" t="str">
        <f t="shared" si="58"/>
        <v>Pilotage</v>
      </c>
      <c r="O187" s="134">
        <f t="shared" si="59"/>
        <v>80000</v>
      </c>
      <c r="P187" s="40">
        <f>IFERROR(VLOOKUP(J187,'Tariff Master'!G:J,2,0),0)</f>
        <v>1.526</v>
      </c>
      <c r="Q187" s="40">
        <f t="shared" si="60"/>
        <v>1</v>
      </c>
      <c r="R187" s="45">
        <f t="shared" si="61"/>
        <v>122080</v>
      </c>
      <c r="S187" s="28">
        <f>IFERROR(VLOOKUP(J187,'Tariff Master'!G:J,3,0),0)</f>
        <v>0</v>
      </c>
      <c r="T187" s="28" t="str">
        <f>IFERROR(VLOOKUP(J187,'Tariff Master'!G:J,4,0),0)</f>
        <v>USD</v>
      </c>
      <c r="V187">
        <f t="shared" si="52"/>
        <v>83</v>
      </c>
      <c r="W187" s="46">
        <f t="shared" si="62"/>
        <v>1.0132639999999999</v>
      </c>
    </row>
    <row r="188" spans="1:23">
      <c r="A188" t="s">
        <v>183</v>
      </c>
      <c r="B188" t="s">
        <v>372</v>
      </c>
      <c r="C188" t="s">
        <v>373</v>
      </c>
      <c r="D188" t="s">
        <v>138</v>
      </c>
      <c r="E188" t="s">
        <v>0</v>
      </c>
      <c r="F188" s="28">
        <v>6.5060999999999994E-2</v>
      </c>
      <c r="G188" s="28">
        <v>500</v>
      </c>
      <c r="J188" t="str">
        <f t="shared" si="54"/>
        <v>KRISHNAPTNMBREAK BULKCOASTALPort Dues</v>
      </c>
      <c r="K188" s="41" t="str">
        <f t="shared" si="55"/>
        <v>KRISHNAPTNM</v>
      </c>
      <c r="L188" s="41" t="str">
        <f t="shared" si="56"/>
        <v>BREAK BULK</v>
      </c>
      <c r="M188" s="41" t="str">
        <f t="shared" si="57"/>
        <v>COASTAL</v>
      </c>
      <c r="N188" s="41" t="str">
        <f t="shared" si="58"/>
        <v>Port Dues</v>
      </c>
      <c r="O188" s="134">
        <f t="shared" si="59"/>
        <v>80000</v>
      </c>
      <c r="P188" s="40">
        <f>IFERROR(VLOOKUP(J188,'Tariff Master'!G:J,2,0),0)</f>
        <v>6.5060999999999994E-2</v>
      </c>
      <c r="Q188" s="40">
        <f t="shared" si="60"/>
        <v>1</v>
      </c>
      <c r="R188" s="45">
        <f t="shared" si="61"/>
        <v>5204.8799999999992</v>
      </c>
      <c r="S188" s="28">
        <f>IFERROR(VLOOKUP(J188,'Tariff Master'!G:J,3,0),0)</f>
        <v>500</v>
      </c>
      <c r="T188" s="28" t="str">
        <f>IFERROR(VLOOKUP(J188,'Tariff Master'!G:J,4,0),0)</f>
        <v>USD</v>
      </c>
      <c r="V188">
        <f t="shared" si="52"/>
        <v>83</v>
      </c>
      <c r="W188" s="46">
        <f t="shared" si="62"/>
        <v>4.3200503999999994E-2</v>
      </c>
    </row>
    <row r="189" spans="1:23">
      <c r="A189" t="s">
        <v>183</v>
      </c>
      <c r="B189" t="s">
        <v>372</v>
      </c>
      <c r="C189" t="s">
        <v>373</v>
      </c>
      <c r="D189" t="s">
        <v>138</v>
      </c>
      <c r="E189" t="s">
        <v>351</v>
      </c>
      <c r="F189" s="28">
        <v>0.115</v>
      </c>
      <c r="G189" s="28">
        <v>0</v>
      </c>
      <c r="J189" t="str">
        <f t="shared" si="54"/>
        <v>KRISHNAPTNMBREAK BULKCOASTALSustainability</v>
      </c>
      <c r="K189" s="41" t="str">
        <f t="shared" si="55"/>
        <v>KRISHNAPTNM</v>
      </c>
      <c r="L189" s="41" t="str">
        <f t="shared" si="56"/>
        <v>BREAK BULK</v>
      </c>
      <c r="M189" s="41" t="str">
        <f t="shared" si="57"/>
        <v>COASTAL</v>
      </c>
      <c r="N189" s="41" t="str">
        <f t="shared" si="58"/>
        <v>Sustainability</v>
      </c>
      <c r="O189" s="134">
        <f t="shared" si="59"/>
        <v>80000</v>
      </c>
      <c r="P189" s="40">
        <f>IFERROR(VLOOKUP(J189,'Tariff Master'!G:J,2,0),0)</f>
        <v>0.115</v>
      </c>
      <c r="Q189" s="40">
        <f t="shared" si="60"/>
        <v>1</v>
      </c>
      <c r="R189" s="45">
        <f t="shared" si="61"/>
        <v>9200</v>
      </c>
      <c r="S189" s="28">
        <f>IFERROR(VLOOKUP(J189,'Tariff Master'!G:J,3,0),0)</f>
        <v>0</v>
      </c>
      <c r="T189" s="28" t="str">
        <f>IFERROR(VLOOKUP(J189,'Tariff Master'!G:J,4,0),0)</f>
        <v>USD</v>
      </c>
      <c r="V189">
        <f t="shared" si="52"/>
        <v>83</v>
      </c>
      <c r="W189" s="46">
        <f t="shared" si="62"/>
        <v>7.6359999999999997E-2</v>
      </c>
    </row>
    <row r="190" spans="1:23">
      <c r="A190" t="s">
        <v>183</v>
      </c>
      <c r="B190" t="s">
        <v>372</v>
      </c>
      <c r="C190" t="s">
        <v>373</v>
      </c>
      <c r="D190" t="s">
        <v>103</v>
      </c>
      <c r="E190" t="s">
        <v>7</v>
      </c>
      <c r="F190" s="28">
        <v>5.0000000000000001E-3</v>
      </c>
      <c r="G190" s="28">
        <v>500</v>
      </c>
      <c r="J190" t="str">
        <f t="shared" si="54"/>
        <v>KRISHNAPTNMBREAK BULKFOREIGNBerth Hire</v>
      </c>
      <c r="K190" s="41" t="str">
        <f t="shared" si="55"/>
        <v>KRISHNAPTNM</v>
      </c>
      <c r="L190" s="41" t="str">
        <f t="shared" si="56"/>
        <v>BREAK BULK</v>
      </c>
      <c r="M190" s="41" t="str">
        <f t="shared" si="57"/>
        <v>FOREIGN</v>
      </c>
      <c r="N190" s="41" t="str">
        <f t="shared" si="58"/>
        <v>Berth Hire</v>
      </c>
      <c r="O190" s="134">
        <f t="shared" si="59"/>
        <v>80000</v>
      </c>
      <c r="P190" s="40">
        <f>IFERROR(VLOOKUP(J190,'Tariff Master'!G:J,2,0),0)</f>
        <v>5.0000000000000001E-3</v>
      </c>
      <c r="Q190" s="40">
        <f t="shared" si="60"/>
        <v>23</v>
      </c>
      <c r="R190" s="45">
        <f t="shared" si="61"/>
        <v>9200</v>
      </c>
      <c r="S190" s="28">
        <f>IFERROR(VLOOKUP(J190,'Tariff Master'!G:J,3,0),0)</f>
        <v>500</v>
      </c>
      <c r="T190" s="28" t="str">
        <f>IFERROR(VLOOKUP(J190,'Tariff Master'!G:J,4,0),0)</f>
        <v>USD</v>
      </c>
      <c r="V190">
        <f t="shared" si="52"/>
        <v>83</v>
      </c>
      <c r="W190" s="46">
        <f t="shared" si="62"/>
        <v>7.6359999999999997E-2</v>
      </c>
    </row>
    <row r="191" spans="1:23">
      <c r="A191" t="s">
        <v>183</v>
      </c>
      <c r="B191" t="s">
        <v>372</v>
      </c>
      <c r="C191" t="s">
        <v>373</v>
      </c>
      <c r="D191" t="s">
        <v>103</v>
      </c>
      <c r="E191" t="s">
        <v>4</v>
      </c>
      <c r="F191" s="28">
        <v>3.4720000000000001E-2</v>
      </c>
      <c r="G191" s="28">
        <v>200</v>
      </c>
      <c r="J191" t="str">
        <f t="shared" si="54"/>
        <v>KRISHNAPTNMBREAK BULKFOREIGNMooring</v>
      </c>
      <c r="K191" s="41" t="str">
        <f t="shared" si="55"/>
        <v>KRISHNAPTNM</v>
      </c>
      <c r="L191" s="41" t="str">
        <f t="shared" si="56"/>
        <v>BREAK BULK</v>
      </c>
      <c r="M191" s="41" t="str">
        <f t="shared" si="57"/>
        <v>FOREIGN</v>
      </c>
      <c r="N191" s="41" t="str">
        <f t="shared" si="58"/>
        <v>Mooring</v>
      </c>
      <c r="O191" s="134">
        <f t="shared" si="59"/>
        <v>80000</v>
      </c>
      <c r="P191" s="40">
        <f>IFERROR(VLOOKUP(J191,'Tariff Master'!G:J,2,0),0)</f>
        <v>3.4720000000000001E-2</v>
      </c>
      <c r="Q191" s="40">
        <f t="shared" si="60"/>
        <v>1</v>
      </c>
      <c r="R191" s="45">
        <f t="shared" si="61"/>
        <v>2777.6</v>
      </c>
      <c r="S191" s="28">
        <f>IFERROR(VLOOKUP(J191,'Tariff Master'!G:J,3,0),0)</f>
        <v>200</v>
      </c>
      <c r="T191" s="28" t="str">
        <f>IFERROR(VLOOKUP(J191,'Tariff Master'!G:J,4,0),0)</f>
        <v>USD</v>
      </c>
      <c r="V191">
        <f t="shared" si="52"/>
        <v>83</v>
      </c>
      <c r="W191" s="46">
        <f t="shared" si="62"/>
        <v>2.3054079999999998E-2</v>
      </c>
    </row>
    <row r="192" spans="1:23">
      <c r="A192" t="s">
        <v>183</v>
      </c>
      <c r="B192" t="s">
        <v>372</v>
      </c>
      <c r="C192" t="s">
        <v>373</v>
      </c>
      <c r="D192" t="s">
        <v>103</v>
      </c>
      <c r="E192" t="s">
        <v>343</v>
      </c>
      <c r="F192" s="28">
        <v>2.6270999999999999E-2</v>
      </c>
      <c r="G192" s="28">
        <v>0</v>
      </c>
      <c r="J192" t="str">
        <f t="shared" si="54"/>
        <v>KRISHNAPTNMBREAK BULKFOREIGNPESP &amp; Dredging</v>
      </c>
      <c r="K192" s="41" t="str">
        <f t="shared" si="55"/>
        <v>KRISHNAPTNM</v>
      </c>
      <c r="L192" s="41" t="str">
        <f t="shared" si="56"/>
        <v>BREAK BULK</v>
      </c>
      <c r="M192" s="41" t="str">
        <f t="shared" si="57"/>
        <v>FOREIGN</v>
      </c>
      <c r="N192" s="41" t="str">
        <f t="shared" si="58"/>
        <v>PESP &amp; Dredging</v>
      </c>
      <c r="O192" s="134">
        <f t="shared" si="59"/>
        <v>1</v>
      </c>
      <c r="P192" s="40">
        <f>IFERROR(VLOOKUP(J192,'Tariff Master'!G:J,2,0),0)</f>
        <v>2.6270999999999999E-2</v>
      </c>
      <c r="Q192" s="40">
        <f t="shared" si="60"/>
        <v>1</v>
      </c>
      <c r="R192" s="45">
        <f t="shared" si="61"/>
        <v>2.6270999999999999E-2</v>
      </c>
      <c r="S192" s="28">
        <f>IFERROR(VLOOKUP(J192,'Tariff Master'!G:J,3,0),0)</f>
        <v>0</v>
      </c>
      <c r="T192" s="28" t="str">
        <f>IFERROR(VLOOKUP(J192,'Tariff Master'!G:J,4,0),0)</f>
        <v>USD</v>
      </c>
      <c r="V192">
        <f t="shared" si="52"/>
        <v>83</v>
      </c>
      <c r="W192" s="46">
        <f t="shared" si="62"/>
        <v>2.1804929999999997E-7</v>
      </c>
    </row>
    <row r="193" spans="1:23">
      <c r="A193" t="s">
        <v>183</v>
      </c>
      <c r="B193" t="s">
        <v>372</v>
      </c>
      <c r="C193" t="s">
        <v>373</v>
      </c>
      <c r="D193" t="s">
        <v>103</v>
      </c>
      <c r="E193" t="s">
        <v>3</v>
      </c>
      <c r="F193" s="28">
        <v>1.2535000000000001</v>
      </c>
      <c r="G193" s="28">
        <v>0</v>
      </c>
      <c r="J193" t="str">
        <f t="shared" si="54"/>
        <v>KRISHNAPTNMBREAK BULKFOREIGNPilotage</v>
      </c>
      <c r="K193" s="41" t="str">
        <f t="shared" si="55"/>
        <v>KRISHNAPTNM</v>
      </c>
      <c r="L193" s="41" t="str">
        <f t="shared" si="56"/>
        <v>BREAK BULK</v>
      </c>
      <c r="M193" s="41" t="str">
        <f t="shared" si="57"/>
        <v>FOREIGN</v>
      </c>
      <c r="N193" s="41" t="str">
        <f t="shared" si="58"/>
        <v>Pilotage</v>
      </c>
      <c r="O193" s="134">
        <f t="shared" si="59"/>
        <v>80000</v>
      </c>
      <c r="P193" s="40">
        <f>IFERROR(VLOOKUP(J193,'Tariff Master'!G:J,2,0),0)</f>
        <v>1.526</v>
      </c>
      <c r="Q193" s="40">
        <f t="shared" si="60"/>
        <v>1</v>
      </c>
      <c r="R193" s="45">
        <f t="shared" si="61"/>
        <v>122080</v>
      </c>
      <c r="S193" s="28">
        <f>IFERROR(VLOOKUP(J193,'Tariff Master'!G:J,3,0),0)</f>
        <v>0</v>
      </c>
      <c r="T193" s="28" t="str">
        <f>IFERROR(VLOOKUP(J193,'Tariff Master'!G:J,4,0),0)</f>
        <v>USD</v>
      </c>
      <c r="V193">
        <f t="shared" si="52"/>
        <v>83</v>
      </c>
      <c r="W193" s="46">
        <f t="shared" si="62"/>
        <v>1.0132639999999999</v>
      </c>
    </row>
    <row r="194" spans="1:23">
      <c r="A194" t="s">
        <v>183</v>
      </c>
      <c r="B194" t="s">
        <v>372</v>
      </c>
      <c r="C194" t="s">
        <v>373</v>
      </c>
      <c r="D194" t="s">
        <v>103</v>
      </c>
      <c r="E194" t="s">
        <v>0</v>
      </c>
      <c r="F194" s="28">
        <v>6.5060999999999994E-2</v>
      </c>
      <c r="G194" s="28">
        <v>500</v>
      </c>
      <c r="J194" t="str">
        <f t="shared" si="54"/>
        <v>KRISHNAPTNMBREAK BULKFOREIGNPort Dues</v>
      </c>
      <c r="K194" s="41" t="str">
        <f t="shared" si="55"/>
        <v>KRISHNAPTNM</v>
      </c>
      <c r="L194" s="41" t="str">
        <f t="shared" si="56"/>
        <v>BREAK BULK</v>
      </c>
      <c r="M194" s="41" t="str">
        <f t="shared" si="57"/>
        <v>FOREIGN</v>
      </c>
      <c r="N194" s="41" t="str">
        <f t="shared" si="58"/>
        <v>Port Dues</v>
      </c>
      <c r="O194" s="134">
        <f t="shared" si="59"/>
        <v>80000</v>
      </c>
      <c r="P194" s="40">
        <f>IFERROR(VLOOKUP(J194,'Tariff Master'!G:J,2,0),0)</f>
        <v>6.5060999999999994E-2</v>
      </c>
      <c r="Q194" s="40">
        <f t="shared" si="60"/>
        <v>1</v>
      </c>
      <c r="R194" s="45">
        <f t="shared" si="61"/>
        <v>5204.8799999999992</v>
      </c>
      <c r="S194" s="28">
        <f>IFERROR(VLOOKUP(J194,'Tariff Master'!G:J,3,0),0)</f>
        <v>500</v>
      </c>
      <c r="T194" s="28" t="str">
        <f>IFERROR(VLOOKUP(J194,'Tariff Master'!G:J,4,0),0)</f>
        <v>USD</v>
      </c>
      <c r="V194">
        <f t="shared" si="52"/>
        <v>83</v>
      </c>
      <c r="W194" s="46">
        <f t="shared" si="62"/>
        <v>4.3200503999999994E-2</v>
      </c>
    </row>
    <row r="195" spans="1:23">
      <c r="A195" t="s">
        <v>183</v>
      </c>
      <c r="B195" t="s">
        <v>372</v>
      </c>
      <c r="C195" t="s">
        <v>373</v>
      </c>
      <c r="D195" t="s">
        <v>103</v>
      </c>
      <c r="E195" t="s">
        <v>351</v>
      </c>
      <c r="F195" s="28">
        <v>0.115</v>
      </c>
      <c r="G195" s="28">
        <v>0</v>
      </c>
      <c r="J195" t="str">
        <f t="shared" si="54"/>
        <v>KRISHNAPTNMBREAK BULKFOREIGNSustainability</v>
      </c>
      <c r="K195" s="41" t="str">
        <f t="shared" si="55"/>
        <v>KRISHNAPTNM</v>
      </c>
      <c r="L195" s="41" t="str">
        <f t="shared" si="56"/>
        <v>BREAK BULK</v>
      </c>
      <c r="M195" s="41" t="str">
        <f t="shared" si="57"/>
        <v>FOREIGN</v>
      </c>
      <c r="N195" s="41" t="str">
        <f t="shared" si="58"/>
        <v>Sustainability</v>
      </c>
      <c r="O195" s="134">
        <f t="shared" si="59"/>
        <v>80000</v>
      </c>
      <c r="P195" s="40">
        <f>IFERROR(VLOOKUP(J195,'Tariff Master'!G:J,2,0),0)</f>
        <v>0.115</v>
      </c>
      <c r="Q195" s="40">
        <f t="shared" si="60"/>
        <v>1</v>
      </c>
      <c r="R195" s="45">
        <f t="shared" si="61"/>
        <v>9200</v>
      </c>
      <c r="S195" s="28">
        <f>IFERROR(VLOOKUP(J195,'Tariff Master'!G:J,3,0),0)</f>
        <v>0</v>
      </c>
      <c r="T195" s="28" t="str">
        <f>IFERROR(VLOOKUP(J195,'Tariff Master'!G:J,4,0),0)</f>
        <v>USD</v>
      </c>
      <c r="V195">
        <f t="shared" si="52"/>
        <v>83</v>
      </c>
      <c r="W195" s="46">
        <f t="shared" si="62"/>
        <v>7.6359999999999997E-2</v>
      </c>
    </row>
    <row r="196" spans="1:23">
      <c r="A196" t="s">
        <v>184</v>
      </c>
      <c r="B196" t="s">
        <v>100</v>
      </c>
      <c r="C196" t="s">
        <v>102</v>
      </c>
      <c r="D196" t="s">
        <v>138</v>
      </c>
      <c r="E196" t="s">
        <v>7</v>
      </c>
      <c r="F196" s="28">
        <v>0.751</v>
      </c>
      <c r="G196" s="28">
        <v>0</v>
      </c>
      <c r="J196" t="str">
        <f t="shared" si="54"/>
        <v>ENNORECONTAINERCOASTALBerth Hire</v>
      </c>
      <c r="K196" s="41" t="str">
        <f t="shared" si="55"/>
        <v>ENNORE</v>
      </c>
      <c r="L196" s="41" t="str">
        <f t="shared" si="56"/>
        <v>CONTAINER</v>
      </c>
      <c r="M196" s="41" t="str">
        <f t="shared" si="57"/>
        <v>COASTAL</v>
      </c>
      <c r="N196" s="41" t="str">
        <f t="shared" si="58"/>
        <v>Berth Hire</v>
      </c>
      <c r="O196" s="134">
        <f t="shared" si="59"/>
        <v>80000</v>
      </c>
      <c r="P196" s="40">
        <f>IFERROR(VLOOKUP(J196,'Tariff Master'!G:J,2,0),0)</f>
        <v>0.751</v>
      </c>
      <c r="Q196" s="40">
        <f t="shared" si="60"/>
        <v>23</v>
      </c>
      <c r="R196" s="45">
        <f t="shared" si="61"/>
        <v>1381840</v>
      </c>
      <c r="S196" s="28">
        <f>IFERROR(VLOOKUP(J196,'Tariff Master'!G:J,3,0),0)</f>
        <v>0</v>
      </c>
      <c r="T196" s="28" t="str">
        <f>IFERROR(VLOOKUP(J196,'Tariff Master'!G:J,4,0),0)</f>
        <v>INR</v>
      </c>
      <c r="V196">
        <f t="shared" si="52"/>
        <v>83</v>
      </c>
      <c r="W196" s="46">
        <f t="shared" si="62"/>
        <v>0.138184</v>
      </c>
    </row>
    <row r="197" spans="1:23">
      <c r="A197" t="s">
        <v>184</v>
      </c>
      <c r="B197" t="s">
        <v>100</v>
      </c>
      <c r="C197" t="s">
        <v>102</v>
      </c>
      <c r="D197" t="s">
        <v>103</v>
      </c>
      <c r="E197" t="s">
        <v>7</v>
      </c>
      <c r="F197" s="28">
        <v>2.01E-2</v>
      </c>
      <c r="G197" s="28">
        <v>0</v>
      </c>
      <c r="J197" t="str">
        <f t="shared" si="54"/>
        <v>ENNORECONTAINERFOREIGNBerth Hire</v>
      </c>
      <c r="K197" s="41" t="str">
        <f t="shared" si="55"/>
        <v>ENNORE</v>
      </c>
      <c r="L197" s="41" t="str">
        <f t="shared" si="56"/>
        <v>CONTAINER</v>
      </c>
      <c r="M197" s="41" t="str">
        <f t="shared" si="57"/>
        <v>FOREIGN</v>
      </c>
      <c r="N197" s="41" t="str">
        <f t="shared" si="58"/>
        <v>Berth Hire</v>
      </c>
      <c r="O197" s="134">
        <f t="shared" si="59"/>
        <v>80000</v>
      </c>
      <c r="P197" s="40">
        <f>IFERROR(VLOOKUP(J197,'Tariff Master'!G:J,2,0),0)</f>
        <v>2.01E-2</v>
      </c>
      <c r="Q197" s="40">
        <f t="shared" si="60"/>
        <v>23</v>
      </c>
      <c r="R197" s="45">
        <f t="shared" si="61"/>
        <v>36984</v>
      </c>
      <c r="S197" s="28">
        <f>IFERROR(VLOOKUP(J197,'Tariff Master'!G:J,3,0),0)</f>
        <v>0</v>
      </c>
      <c r="T197" s="28" t="str">
        <f>IFERROR(VLOOKUP(J197,'Tariff Master'!G:J,4,0),0)</f>
        <v>USD</v>
      </c>
      <c r="V197">
        <f t="shared" si="52"/>
        <v>83</v>
      </c>
      <c r="W197" s="46">
        <f t="shared" si="62"/>
        <v>0.3069672</v>
      </c>
    </row>
    <row r="198" spans="1:23">
      <c r="A198" t="s">
        <v>184</v>
      </c>
      <c r="B198" t="s">
        <v>99</v>
      </c>
      <c r="C198" t="s">
        <v>355</v>
      </c>
      <c r="D198" t="s">
        <v>138</v>
      </c>
      <c r="E198" t="s">
        <v>7</v>
      </c>
      <c r="F198" s="28">
        <v>0.48</v>
      </c>
      <c r="G198" s="28">
        <v>0</v>
      </c>
      <c r="J198" t="str">
        <f t="shared" si="54"/>
        <v>GOADRY BULKCOASTALBerth Hire</v>
      </c>
      <c r="K198" s="41" t="str">
        <f t="shared" si="55"/>
        <v>GOA</v>
      </c>
      <c r="L198" s="41" t="str">
        <f t="shared" si="56"/>
        <v>DRY BULK</v>
      </c>
      <c r="M198" s="41" t="str">
        <f t="shared" si="57"/>
        <v>COASTAL</v>
      </c>
      <c r="N198" s="41" t="str">
        <f t="shared" si="58"/>
        <v>Berth Hire</v>
      </c>
      <c r="O198" s="134">
        <f t="shared" si="59"/>
        <v>80000</v>
      </c>
      <c r="P198" s="40">
        <f>IFERROR(VLOOKUP(J198,'Tariff Master'!G:J,2,0),0)</f>
        <v>0.48</v>
      </c>
      <c r="Q198" s="40">
        <f t="shared" si="60"/>
        <v>23</v>
      </c>
      <c r="R198" s="45">
        <f t="shared" si="61"/>
        <v>883200</v>
      </c>
      <c r="S198" s="28">
        <f>IFERROR(VLOOKUP(J198,'Tariff Master'!G:J,3,0),0)</f>
        <v>0</v>
      </c>
      <c r="T198" s="28" t="str">
        <f>IFERROR(VLOOKUP(J198,'Tariff Master'!G:J,4,0),0)</f>
        <v>INR</v>
      </c>
      <c r="V198">
        <f t="shared" si="52"/>
        <v>83</v>
      </c>
      <c r="W198" s="46">
        <f t="shared" si="62"/>
        <v>8.8319999999999996E-2</v>
      </c>
    </row>
    <row r="199" spans="1:23">
      <c r="A199" t="s">
        <v>184</v>
      </c>
      <c r="B199" t="s">
        <v>99</v>
      </c>
      <c r="C199" t="s">
        <v>355</v>
      </c>
      <c r="D199" t="s">
        <v>103</v>
      </c>
      <c r="E199" t="s">
        <v>7</v>
      </c>
      <c r="F199" s="28">
        <v>0.8</v>
      </c>
      <c r="G199" s="28">
        <v>0</v>
      </c>
      <c r="J199" t="str">
        <f t="shared" si="54"/>
        <v>GOADRY BULKFOREIGNBerth Hire</v>
      </c>
      <c r="K199" s="41" t="str">
        <f t="shared" si="55"/>
        <v>GOA</v>
      </c>
      <c r="L199" s="41" t="str">
        <f t="shared" si="56"/>
        <v>DRY BULK</v>
      </c>
      <c r="M199" s="41" t="str">
        <f t="shared" si="57"/>
        <v>FOREIGN</v>
      </c>
      <c r="N199" s="41" t="str">
        <f t="shared" si="58"/>
        <v>Berth Hire</v>
      </c>
      <c r="O199" s="134">
        <f t="shared" si="59"/>
        <v>80000</v>
      </c>
      <c r="P199" s="40">
        <f>IFERROR(VLOOKUP(J199,'Tariff Master'!G:J,2,0),0)</f>
        <v>0.8</v>
      </c>
      <c r="Q199" s="40">
        <f t="shared" si="60"/>
        <v>23</v>
      </c>
      <c r="R199" s="45">
        <f t="shared" si="61"/>
        <v>1472000</v>
      </c>
      <c r="S199" s="28">
        <f>IFERROR(VLOOKUP(J199,'Tariff Master'!G:J,3,0),0)</f>
        <v>0</v>
      </c>
      <c r="T199" s="28" t="str">
        <f>IFERROR(VLOOKUP(J199,'Tariff Master'!G:J,4,0),0)</f>
        <v>INR</v>
      </c>
      <c r="V199">
        <f t="shared" si="52"/>
        <v>83</v>
      </c>
      <c r="W199" s="46">
        <f t="shared" si="62"/>
        <v>0.1472</v>
      </c>
    </row>
    <row r="200" spans="1:23">
      <c r="A200" t="s">
        <v>184</v>
      </c>
      <c r="B200" t="s">
        <v>98</v>
      </c>
      <c r="C200" t="s">
        <v>355</v>
      </c>
      <c r="D200" t="s">
        <v>138</v>
      </c>
      <c r="E200" t="s">
        <v>7</v>
      </c>
      <c r="F200" s="28">
        <v>0.44</v>
      </c>
      <c r="G200" s="28">
        <v>0</v>
      </c>
      <c r="J200" t="str">
        <f t="shared" si="54"/>
        <v>TUNADRY BULKCOASTALBerth Hire</v>
      </c>
      <c r="K200" s="41" t="str">
        <f t="shared" si="55"/>
        <v>TUNA</v>
      </c>
      <c r="L200" s="41" t="str">
        <f t="shared" si="56"/>
        <v>DRY BULK</v>
      </c>
      <c r="M200" s="41" t="str">
        <f t="shared" si="57"/>
        <v>COASTAL</v>
      </c>
      <c r="N200" s="41" t="str">
        <f t="shared" si="58"/>
        <v>Berth Hire</v>
      </c>
      <c r="O200" s="134">
        <f t="shared" si="59"/>
        <v>80000</v>
      </c>
      <c r="P200" s="40">
        <f>IFERROR(VLOOKUP(J200,'Tariff Master'!G:J,2,0),0)</f>
        <v>0.44</v>
      </c>
      <c r="Q200" s="40">
        <f t="shared" si="60"/>
        <v>23</v>
      </c>
      <c r="R200" s="45">
        <f t="shared" si="61"/>
        <v>809600</v>
      </c>
      <c r="S200" s="28">
        <f>IFERROR(VLOOKUP(J200,'Tariff Master'!G:J,3,0),0)</f>
        <v>0</v>
      </c>
      <c r="T200" s="28" t="str">
        <f>IFERROR(VLOOKUP(J200,'Tariff Master'!G:J,4,0),0)</f>
        <v>INR</v>
      </c>
      <c r="V200">
        <f t="shared" si="52"/>
        <v>83</v>
      </c>
      <c r="W200" s="46">
        <f t="shared" si="62"/>
        <v>8.0960000000000004E-2</v>
      </c>
    </row>
    <row r="201" spans="1:23">
      <c r="A201" t="s">
        <v>184</v>
      </c>
      <c r="B201" t="s">
        <v>98</v>
      </c>
      <c r="C201" t="s">
        <v>355</v>
      </c>
      <c r="D201" t="s">
        <v>103</v>
      </c>
      <c r="E201" t="s">
        <v>7</v>
      </c>
      <c r="F201" s="28">
        <v>0.75</v>
      </c>
      <c r="G201" s="28">
        <v>0</v>
      </c>
      <c r="J201" t="str">
        <f t="shared" si="54"/>
        <v>TUNADRY BULKFOREIGNBerth Hire</v>
      </c>
      <c r="K201" s="41" t="str">
        <f t="shared" si="55"/>
        <v>TUNA</v>
      </c>
      <c r="L201" s="41" t="str">
        <f t="shared" si="56"/>
        <v>DRY BULK</v>
      </c>
      <c r="M201" s="41" t="str">
        <f t="shared" si="57"/>
        <v>FOREIGN</v>
      </c>
      <c r="N201" s="41" t="str">
        <f t="shared" si="58"/>
        <v>Berth Hire</v>
      </c>
      <c r="O201" s="134">
        <f t="shared" si="59"/>
        <v>80000</v>
      </c>
      <c r="P201" s="40">
        <f>IFERROR(VLOOKUP(J201,'Tariff Master'!G:J,2,0),0)</f>
        <v>0.75</v>
      </c>
      <c r="Q201" s="40">
        <f t="shared" si="60"/>
        <v>23</v>
      </c>
      <c r="R201" s="45">
        <f t="shared" si="61"/>
        <v>1380000</v>
      </c>
      <c r="S201" s="28">
        <f>IFERROR(VLOOKUP(J201,'Tariff Master'!G:J,3,0),0)</f>
        <v>0</v>
      </c>
      <c r="T201" s="28" t="str">
        <f>IFERROR(VLOOKUP(J201,'Tariff Master'!G:J,4,0),0)</f>
        <v>INR</v>
      </c>
      <c r="V201">
        <f t="shared" si="52"/>
        <v>83</v>
      </c>
      <c r="W201" s="46">
        <f t="shared" si="62"/>
        <v>0.13800000000000001</v>
      </c>
    </row>
    <row r="202" spans="1:23">
      <c r="A202" t="s">
        <v>185</v>
      </c>
      <c r="F202" s="28">
        <v>13745.587637999994</v>
      </c>
      <c r="G202" s="28">
        <v>572540</v>
      </c>
    </row>
  </sheetData>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993A-9EBD-4CBA-8074-D61705F5A251}">
  <sheetPr>
    <tabColor rgb="FFFFFF00"/>
  </sheetPr>
  <dimension ref="B1:H4"/>
  <sheetViews>
    <sheetView workbookViewId="0">
      <selection activeCell="C18" sqref="C18"/>
    </sheetView>
  </sheetViews>
  <sheetFormatPr defaultRowHeight="14.4"/>
  <cols>
    <col min="2" max="2" width="32" bestFit="1" customWidth="1"/>
    <col min="3" max="3" width="14.33203125" bestFit="1" customWidth="1"/>
    <col min="4" max="4" width="10.33203125" bestFit="1" customWidth="1"/>
    <col min="5" max="5" width="6.33203125" bestFit="1" customWidth="1"/>
    <col min="6" max="6" width="25.88671875" bestFit="1" customWidth="1"/>
    <col min="7" max="7" width="16.44140625" bestFit="1" customWidth="1"/>
    <col min="8" max="8" width="8.109375" bestFit="1" customWidth="1"/>
  </cols>
  <sheetData>
    <row r="1" spans="2:8" ht="23.4">
      <c r="C1" s="150" t="s">
        <v>336</v>
      </c>
      <c r="D1" s="150"/>
    </row>
    <row r="2" spans="2:8">
      <c r="B2" s="5" t="s">
        <v>1</v>
      </c>
      <c r="C2" s="5" t="s">
        <v>10</v>
      </c>
      <c r="D2" s="5" t="s">
        <v>11</v>
      </c>
      <c r="E2" s="5" t="s">
        <v>12</v>
      </c>
      <c r="F2" s="5" t="s">
        <v>13</v>
      </c>
      <c r="G2" s="5" t="s">
        <v>356</v>
      </c>
      <c r="H2" s="5" t="s">
        <v>14</v>
      </c>
    </row>
    <row r="3" spans="2:8">
      <c r="B3" s="129" t="s">
        <v>370</v>
      </c>
      <c r="C3" s="13">
        <v>0.8</v>
      </c>
      <c r="D3" s="13">
        <v>0</v>
      </c>
      <c r="E3" s="14" t="s">
        <v>40</v>
      </c>
      <c r="F3" s="55"/>
      <c r="G3" s="55"/>
      <c r="H3" s="54"/>
    </row>
    <row r="4" spans="2:8">
      <c r="B4" s="129" t="s">
        <v>371</v>
      </c>
      <c r="C4" s="13">
        <v>0.48</v>
      </c>
      <c r="D4" s="13">
        <v>0</v>
      </c>
      <c r="E4" s="14" t="s">
        <v>40</v>
      </c>
      <c r="F4" s="55"/>
      <c r="G4" s="55"/>
      <c r="H4" s="54"/>
    </row>
  </sheetData>
  <mergeCells count="1">
    <mergeCell ref="C1:D1"/>
  </mergeCells>
  <conditionalFormatting sqref="H3">
    <cfRule type="containsText" dxfId="131" priority="4" operator="containsText" text="Verified">
      <formula>NOT(ISERROR(SEARCH("Verified",H3)))</formula>
    </cfRule>
    <cfRule type="containsText" dxfId="130" priority="5" operator="containsText" text="Verified">
      <formula>NOT(ISERROR(SEARCH("Verified",H3)))</formula>
    </cfRule>
    <cfRule type="containsText" dxfId="129" priority="6" operator="containsText" text="Verified">
      <formula>NOT(ISERROR(SEARCH("Verified",H3)))</formula>
    </cfRule>
  </conditionalFormatting>
  <conditionalFormatting sqref="H4">
    <cfRule type="containsText" dxfId="128" priority="1" operator="containsText" text="Verified">
      <formula>NOT(ISERROR(SEARCH("Verified",H4)))</formula>
    </cfRule>
    <cfRule type="containsText" dxfId="127" priority="2" operator="containsText" text="Verified">
      <formula>NOT(ISERROR(SEARCH("Verified",H4)))</formula>
    </cfRule>
    <cfRule type="containsText" dxfId="126" priority="3" operator="containsText" text="Verified">
      <formula>NOT(ISERROR(SEARCH("Verified",H4)))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F1721-4AD0-4EE1-9EDF-B6ADA84C9DC9}">
  <sheetPr>
    <tabColor rgb="FFFFFF00"/>
  </sheetPr>
  <dimension ref="B1:H4"/>
  <sheetViews>
    <sheetView workbookViewId="0">
      <selection activeCell="C18" sqref="C18"/>
    </sheetView>
  </sheetViews>
  <sheetFormatPr defaultRowHeight="14.4"/>
  <cols>
    <col min="2" max="2" width="32" bestFit="1" customWidth="1"/>
    <col min="3" max="3" width="14.33203125" bestFit="1" customWidth="1"/>
    <col min="4" max="4" width="10.33203125" bestFit="1" customWidth="1"/>
    <col min="5" max="5" width="6.33203125" bestFit="1" customWidth="1"/>
    <col min="6" max="6" width="25.88671875" bestFit="1" customWidth="1"/>
    <col min="7" max="7" width="16.44140625" bestFit="1" customWidth="1"/>
    <col min="8" max="8" width="8.109375" bestFit="1" customWidth="1"/>
  </cols>
  <sheetData>
    <row r="1" spans="2:8" ht="23.4">
      <c r="C1" s="150" t="s">
        <v>336</v>
      </c>
      <c r="D1" s="150"/>
    </row>
    <row r="2" spans="2:8">
      <c r="B2" s="5" t="s">
        <v>1</v>
      </c>
      <c r="C2" s="5" t="s">
        <v>10</v>
      </c>
      <c r="D2" s="5" t="s">
        <v>11</v>
      </c>
      <c r="E2" s="5" t="s">
        <v>12</v>
      </c>
      <c r="F2" s="5" t="s">
        <v>13</v>
      </c>
      <c r="G2" s="5" t="s">
        <v>356</v>
      </c>
      <c r="H2" s="5" t="s">
        <v>14</v>
      </c>
    </row>
    <row r="3" spans="2:8">
      <c r="B3" s="129" t="s">
        <v>370</v>
      </c>
      <c r="C3" s="13">
        <v>2.01E-2</v>
      </c>
      <c r="D3" s="13">
        <v>0</v>
      </c>
      <c r="E3" s="14" t="s">
        <v>16</v>
      </c>
      <c r="F3" s="55"/>
      <c r="G3" s="55"/>
      <c r="H3" s="54"/>
    </row>
    <row r="4" spans="2:8">
      <c r="B4" s="129" t="s">
        <v>371</v>
      </c>
      <c r="C4" s="13">
        <v>0.751</v>
      </c>
      <c r="D4" s="13">
        <v>0</v>
      </c>
      <c r="E4" s="14" t="s">
        <v>40</v>
      </c>
      <c r="F4" s="55"/>
      <c r="G4" s="55"/>
      <c r="H4" s="54"/>
    </row>
  </sheetData>
  <mergeCells count="1">
    <mergeCell ref="C1:D1"/>
  </mergeCells>
  <conditionalFormatting sqref="H3">
    <cfRule type="containsText" dxfId="125" priority="4" operator="containsText" text="Verified">
      <formula>NOT(ISERROR(SEARCH("Verified",H3)))</formula>
    </cfRule>
    <cfRule type="containsText" dxfId="124" priority="5" operator="containsText" text="Verified">
      <formula>NOT(ISERROR(SEARCH("Verified",H3)))</formula>
    </cfRule>
    <cfRule type="containsText" dxfId="123" priority="6" operator="containsText" text="Verified">
      <formula>NOT(ISERROR(SEARCH("Verified",H3)))</formula>
    </cfRule>
  </conditionalFormatting>
  <conditionalFormatting sqref="H4">
    <cfRule type="containsText" dxfId="122" priority="1" operator="containsText" text="Verified">
      <formula>NOT(ISERROR(SEARCH("Verified",H4)))</formula>
    </cfRule>
    <cfRule type="containsText" dxfId="121" priority="2" operator="containsText" text="Verified">
      <formula>NOT(ISERROR(SEARCH("Verified",H4)))</formula>
    </cfRule>
    <cfRule type="containsText" dxfId="120" priority="3" operator="containsText" text="Verified">
      <formula>NOT(ISERROR(SEARCH("Verified",H4)))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BF0C-1A4F-4C4C-A610-B5EAE2EE8F8B}">
  <sheetPr>
    <tabColor rgb="FFFFFF00"/>
  </sheetPr>
  <dimension ref="A1:S149"/>
  <sheetViews>
    <sheetView showGridLines="0" view="pageBreakPreview" zoomScale="80" zoomScaleNormal="100" zoomScaleSheetLayoutView="80" workbookViewId="0">
      <pane xSplit="2" ySplit="2" topLeftCell="C3" activePane="bottomRight" state="frozen"/>
      <selection activeCell="O36" sqref="O36"/>
      <selection pane="topRight" activeCell="O36" sqref="O36"/>
      <selection pane="bottomLeft" activeCell="O36" sqref="O36"/>
      <selection pane="bottomRight" activeCell="O36" sqref="O36"/>
    </sheetView>
  </sheetViews>
  <sheetFormatPr defaultColWidth="9.109375" defaultRowHeight="13.8"/>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 style="4" bestFit="1" customWidth="1"/>
    <col min="7" max="7" width="14.109375" style="4" customWidth="1"/>
    <col min="8" max="8" width="8.33203125" style="4" bestFit="1" customWidth="1"/>
    <col min="9" max="11" width="1.88671875" style="4" customWidth="1"/>
    <col min="12" max="12" width="14.6640625" style="86" bestFit="1" customWidth="1"/>
    <col min="13" max="13" width="10.33203125" style="86" bestFit="1" customWidth="1"/>
    <col min="14" max="14" width="2" style="86" customWidth="1"/>
    <col min="15" max="15" width="14.6640625" style="86" bestFit="1" customWidth="1"/>
    <col min="16" max="16" width="10.33203125" style="86" bestFit="1" customWidth="1"/>
    <col min="17" max="17" width="2" style="86" customWidth="1"/>
    <col min="18" max="18" width="14.6640625" style="86" bestFit="1" customWidth="1"/>
    <col min="19" max="19" width="10.5546875" style="86" bestFit="1" customWidth="1"/>
    <col min="20" max="16384" width="9.109375" style="4"/>
  </cols>
  <sheetData>
    <row r="1" spans="1:19" ht="23.4">
      <c r="B1" s="3" t="s">
        <v>9</v>
      </c>
      <c r="L1" s="150" t="s">
        <v>334</v>
      </c>
      <c r="M1" s="150"/>
      <c r="N1" s="57"/>
      <c r="O1" s="150" t="s">
        <v>212</v>
      </c>
      <c r="P1" s="150"/>
      <c r="Q1" s="57"/>
      <c r="R1" s="150" t="s">
        <v>211</v>
      </c>
      <c r="S1" s="150"/>
    </row>
    <row r="2" spans="1:19">
      <c r="B2" s="5" t="s">
        <v>1</v>
      </c>
      <c r="C2" s="5" t="s">
        <v>10</v>
      </c>
      <c r="D2" s="5" t="s">
        <v>11</v>
      </c>
      <c r="E2" s="5" t="s">
        <v>12</v>
      </c>
      <c r="F2" s="5" t="s">
        <v>13</v>
      </c>
      <c r="G2" s="5" t="s">
        <v>356</v>
      </c>
      <c r="H2" s="5" t="s">
        <v>14</v>
      </c>
      <c r="L2" s="17" t="s">
        <v>10</v>
      </c>
      <c r="M2" s="17" t="s">
        <v>11</v>
      </c>
      <c r="N2" s="4"/>
      <c r="O2" s="17" t="s">
        <v>10</v>
      </c>
      <c r="P2" s="17" t="s">
        <v>11</v>
      </c>
      <c r="Q2" s="4"/>
      <c r="R2" s="17" t="s">
        <v>10</v>
      </c>
      <c r="S2" s="17" t="s">
        <v>11</v>
      </c>
    </row>
    <row r="3" spans="1:19">
      <c r="A3" s="4">
        <v>1</v>
      </c>
      <c r="B3" s="12" t="s">
        <v>15</v>
      </c>
      <c r="C3" s="13">
        <v>6.5016000000000004E-2</v>
      </c>
      <c r="D3" s="13">
        <v>330</v>
      </c>
      <c r="E3" s="14" t="s">
        <v>16</v>
      </c>
      <c r="F3" s="15" t="s">
        <v>48</v>
      </c>
      <c r="G3" s="15" t="s">
        <v>357</v>
      </c>
      <c r="H3" s="8" t="s">
        <v>17</v>
      </c>
      <c r="L3" s="13">
        <v>6.5016000000000004E-2</v>
      </c>
      <c r="M3" s="13">
        <v>330</v>
      </c>
      <c r="N3" s="80"/>
      <c r="O3" s="13">
        <v>6.5016000000000004E-2</v>
      </c>
      <c r="P3" s="13">
        <v>330</v>
      </c>
      <c r="Q3" s="80"/>
      <c r="R3" s="13">
        <v>5.4179999999999999E-2</v>
      </c>
      <c r="S3" s="13">
        <v>275</v>
      </c>
    </row>
    <row r="4" spans="1:19">
      <c r="B4" s="154" t="s">
        <v>18</v>
      </c>
      <c r="C4" s="151">
        <v>0.81952100000000005</v>
      </c>
      <c r="D4" s="13">
        <v>2460</v>
      </c>
      <c r="E4" s="14" t="s">
        <v>16</v>
      </c>
      <c r="F4" s="15" t="s">
        <v>19</v>
      </c>
      <c r="G4" s="15" t="s">
        <v>357</v>
      </c>
      <c r="H4" s="8" t="s">
        <v>17</v>
      </c>
      <c r="L4" s="151">
        <v>0.81952100000000005</v>
      </c>
      <c r="M4" s="13">
        <v>2460</v>
      </c>
      <c r="N4" s="80"/>
      <c r="O4" s="151">
        <v>0.75185500000000005</v>
      </c>
      <c r="P4" s="13">
        <v>2255</v>
      </c>
      <c r="Q4" s="80"/>
      <c r="R4" s="151">
        <v>0.69940000000000002</v>
      </c>
      <c r="S4" s="13">
        <v>2100</v>
      </c>
    </row>
    <row r="5" spans="1:19">
      <c r="B5" s="155"/>
      <c r="C5" s="152"/>
      <c r="D5" s="13">
        <v>7685</v>
      </c>
      <c r="E5" s="14" t="s">
        <v>16</v>
      </c>
      <c r="F5" s="15" t="s">
        <v>20</v>
      </c>
      <c r="G5" s="15" t="s">
        <v>357</v>
      </c>
      <c r="H5" s="8" t="s">
        <v>17</v>
      </c>
      <c r="L5" s="152"/>
      <c r="M5" s="13">
        <v>7685</v>
      </c>
      <c r="N5" s="80"/>
      <c r="O5" s="152"/>
      <c r="P5" s="13">
        <v>7050</v>
      </c>
      <c r="Q5" s="80"/>
      <c r="R5" s="152"/>
      <c r="S5" s="13">
        <v>6550</v>
      </c>
    </row>
    <row r="6" spans="1:19">
      <c r="A6" s="4">
        <v>2</v>
      </c>
      <c r="B6" s="12" t="s">
        <v>21</v>
      </c>
      <c r="C6" s="16">
        <v>0.96704599999999996</v>
      </c>
      <c r="D6" s="13">
        <v>15370</v>
      </c>
      <c r="E6" s="14" t="s">
        <v>16</v>
      </c>
      <c r="F6" s="15" t="s">
        <v>22</v>
      </c>
      <c r="G6" s="15" t="s">
        <v>357</v>
      </c>
      <c r="H6" s="8" t="s">
        <v>17</v>
      </c>
      <c r="L6" s="16">
        <v>0.96704599999999996</v>
      </c>
      <c r="M6" s="13">
        <v>15370</v>
      </c>
      <c r="N6" s="80"/>
      <c r="O6" s="16"/>
      <c r="P6" s="13">
        <v>14100</v>
      </c>
      <c r="Q6" s="80"/>
      <c r="R6" s="16">
        <v>0.82530000000000003</v>
      </c>
      <c r="S6" s="13">
        <v>13125</v>
      </c>
    </row>
    <row r="7" spans="1:19">
      <c r="A7" s="4">
        <v>3</v>
      </c>
      <c r="B7" s="12" t="s">
        <v>23</v>
      </c>
      <c r="C7" s="13">
        <v>9.8209999999999999E-3</v>
      </c>
      <c r="D7" s="13">
        <v>690</v>
      </c>
      <c r="E7" s="14" t="s">
        <v>16</v>
      </c>
      <c r="F7" s="15" t="s">
        <v>24</v>
      </c>
      <c r="G7" s="15" t="s">
        <v>357</v>
      </c>
      <c r="H7" s="8" t="s">
        <v>17</v>
      </c>
      <c r="L7" s="13">
        <v>9.8209999999999999E-3</v>
      </c>
      <c r="M7" s="13">
        <v>690</v>
      </c>
      <c r="N7" s="80"/>
      <c r="O7" s="13"/>
      <c r="P7" s="13"/>
      <c r="Q7" s="80"/>
      <c r="R7" s="13">
        <v>9.1350000000000008E-3</v>
      </c>
      <c r="S7" s="13">
        <v>640</v>
      </c>
    </row>
    <row r="8" spans="1:19">
      <c r="A8" s="4">
        <v>4</v>
      </c>
      <c r="B8" s="12" t="s">
        <v>49</v>
      </c>
      <c r="C8" s="13">
        <v>3.4720000000000001E-2</v>
      </c>
      <c r="D8" s="13">
        <v>200</v>
      </c>
      <c r="E8" s="14" t="s">
        <v>16</v>
      </c>
      <c r="F8" s="15"/>
      <c r="G8" s="15" t="s">
        <v>357</v>
      </c>
      <c r="H8" s="8" t="s">
        <v>17</v>
      </c>
      <c r="L8" s="13">
        <v>3.4720000000000001E-2</v>
      </c>
      <c r="M8" s="13">
        <v>200</v>
      </c>
      <c r="N8" s="80"/>
      <c r="O8" s="13"/>
      <c r="P8" s="13"/>
      <c r="Q8" s="80"/>
      <c r="R8" s="13">
        <v>3.4720000000000001E-2</v>
      </c>
      <c r="S8" s="13">
        <v>200</v>
      </c>
    </row>
    <row r="9" spans="1:19">
      <c r="B9" s="154" t="s">
        <v>50</v>
      </c>
      <c r="C9" s="13">
        <v>400</v>
      </c>
      <c r="D9" s="13">
        <v>0</v>
      </c>
      <c r="E9" s="14" t="s">
        <v>16</v>
      </c>
      <c r="F9" s="15" t="s">
        <v>85</v>
      </c>
      <c r="G9" s="15" t="s">
        <v>357</v>
      </c>
      <c r="H9" s="8" t="s">
        <v>17</v>
      </c>
      <c r="L9" s="13">
        <v>400</v>
      </c>
      <c r="M9" s="13">
        <v>0</v>
      </c>
      <c r="N9" s="80"/>
      <c r="O9" s="13"/>
      <c r="P9" s="13"/>
      <c r="Q9" s="80"/>
      <c r="R9" s="13">
        <v>100</v>
      </c>
      <c r="S9" s="13">
        <v>0</v>
      </c>
    </row>
    <row r="10" spans="1:19">
      <c r="A10" s="4">
        <v>5</v>
      </c>
      <c r="B10" s="156"/>
      <c r="C10" s="13">
        <v>600</v>
      </c>
      <c r="D10" s="13">
        <v>0</v>
      </c>
      <c r="E10" s="14" t="s">
        <v>16</v>
      </c>
      <c r="F10" s="15" t="s">
        <v>86</v>
      </c>
      <c r="G10" s="15" t="s">
        <v>357</v>
      </c>
      <c r="H10" s="8" t="s">
        <v>17</v>
      </c>
      <c r="L10" s="13">
        <v>600</v>
      </c>
      <c r="M10" s="13">
        <v>0</v>
      </c>
      <c r="N10" s="80"/>
      <c r="O10" s="13"/>
      <c r="P10" s="13"/>
      <c r="Q10" s="80"/>
      <c r="R10" s="13">
        <v>150</v>
      </c>
      <c r="S10" s="13">
        <v>0</v>
      </c>
    </row>
    <row r="11" spans="1:19">
      <c r="B11" s="155"/>
      <c r="C11" s="13">
        <v>800</v>
      </c>
      <c r="D11" s="13">
        <v>0</v>
      </c>
      <c r="E11" s="14" t="s">
        <v>16</v>
      </c>
      <c r="F11" s="15" t="s">
        <v>87</v>
      </c>
      <c r="G11" s="15" t="s">
        <v>357</v>
      </c>
      <c r="H11" s="8" t="s">
        <v>17</v>
      </c>
      <c r="L11" s="13">
        <v>800</v>
      </c>
      <c r="M11" s="13">
        <v>0</v>
      </c>
      <c r="N11" s="80"/>
      <c r="O11" s="13"/>
      <c r="P11" s="13"/>
      <c r="Q11" s="80"/>
      <c r="R11" s="13">
        <v>200</v>
      </c>
      <c r="S11" s="13">
        <v>0</v>
      </c>
    </row>
    <row r="12" spans="1:19">
      <c r="B12" s="126" t="s">
        <v>15</v>
      </c>
      <c r="C12" s="13">
        <v>6.1920000000000003E-2</v>
      </c>
      <c r="D12" s="13">
        <v>0</v>
      </c>
      <c r="E12" s="14" t="s">
        <v>16</v>
      </c>
      <c r="F12" s="15"/>
      <c r="G12" s="15" t="s">
        <v>139</v>
      </c>
      <c r="H12" s="8" t="s">
        <v>17</v>
      </c>
      <c r="L12" s="13"/>
      <c r="M12" s="13"/>
      <c r="N12" s="80"/>
      <c r="O12" s="13"/>
      <c r="P12" s="13"/>
      <c r="Q12" s="80"/>
      <c r="R12" s="13"/>
      <c r="S12" s="13"/>
    </row>
    <row r="13" spans="1:19">
      <c r="B13" s="126" t="s">
        <v>3</v>
      </c>
      <c r="C13" s="13">
        <v>1.1255250000000001</v>
      </c>
      <c r="D13" s="13">
        <v>0</v>
      </c>
      <c r="E13" s="14" t="s">
        <v>16</v>
      </c>
      <c r="F13" s="15"/>
      <c r="G13" s="15" t="s">
        <v>139</v>
      </c>
      <c r="H13" s="8" t="s">
        <v>17</v>
      </c>
      <c r="L13" s="13"/>
      <c r="M13" s="13"/>
      <c r="N13" s="80"/>
      <c r="O13" s="13"/>
      <c r="P13" s="13"/>
      <c r="Q13" s="80"/>
      <c r="R13" s="13"/>
      <c r="S13" s="13"/>
    </row>
    <row r="14" spans="1:19">
      <c r="B14" s="126" t="s">
        <v>358</v>
      </c>
      <c r="C14" s="13">
        <f>0.224353/24</f>
        <v>9.348041666666666E-3</v>
      </c>
      <c r="D14" s="13">
        <v>0</v>
      </c>
      <c r="E14" s="14" t="s">
        <v>16</v>
      </c>
      <c r="F14" s="15"/>
      <c r="G14" s="15" t="s">
        <v>139</v>
      </c>
      <c r="H14" s="8" t="s">
        <v>17</v>
      </c>
      <c r="L14" s="13"/>
      <c r="M14" s="13"/>
      <c r="N14" s="80"/>
      <c r="O14" s="13"/>
      <c r="P14" s="13"/>
      <c r="Q14" s="80"/>
      <c r="R14" s="13"/>
      <c r="S14" s="13"/>
    </row>
    <row r="15" spans="1:19">
      <c r="B15" s="12" t="s">
        <v>359</v>
      </c>
      <c r="C15" s="13">
        <v>3.4099999999999998E-2</v>
      </c>
      <c r="D15" s="13">
        <v>0</v>
      </c>
      <c r="E15" s="14" t="s">
        <v>16</v>
      </c>
      <c r="F15" s="15"/>
      <c r="G15" s="15" t="s">
        <v>139</v>
      </c>
      <c r="H15" s="8" t="s">
        <v>17</v>
      </c>
      <c r="L15" s="13"/>
      <c r="M15" s="13"/>
      <c r="N15" s="80"/>
      <c r="O15" s="13"/>
      <c r="P15" s="13"/>
      <c r="Q15" s="80"/>
      <c r="R15" s="13">
        <v>1.0200000000000001E-3</v>
      </c>
      <c r="S15" s="13">
        <v>0</v>
      </c>
    </row>
    <row r="16" spans="1:19" ht="27.6">
      <c r="B16" s="6" t="s">
        <v>26</v>
      </c>
      <c r="C16" s="7"/>
      <c r="D16" s="7"/>
      <c r="E16" s="8" t="s">
        <v>16</v>
      </c>
      <c r="F16" s="11" t="s">
        <v>27</v>
      </c>
      <c r="G16" s="11"/>
      <c r="H16" s="8" t="s">
        <v>37</v>
      </c>
      <c r="L16" s="7"/>
      <c r="M16" s="7"/>
      <c r="N16" s="80"/>
      <c r="O16" s="7"/>
      <c r="P16" s="7"/>
      <c r="Q16" s="80"/>
      <c r="R16" s="7">
        <v>1755</v>
      </c>
      <c r="S16" s="7">
        <v>0</v>
      </c>
    </row>
    <row r="17" spans="2:19">
      <c r="B17" s="6" t="s">
        <v>28</v>
      </c>
      <c r="C17" s="10"/>
      <c r="D17" s="7"/>
      <c r="E17" s="8" t="s">
        <v>16</v>
      </c>
      <c r="F17" s="9" t="s">
        <v>29</v>
      </c>
      <c r="G17" s="9"/>
      <c r="H17" s="8" t="s">
        <v>37</v>
      </c>
      <c r="L17" s="10"/>
      <c r="M17" s="7"/>
      <c r="N17" s="80"/>
      <c r="O17" s="10"/>
      <c r="P17" s="7"/>
      <c r="Q17" s="80"/>
      <c r="R17" s="10">
        <v>800</v>
      </c>
      <c r="S17" s="7">
        <v>0</v>
      </c>
    </row>
    <row r="18" spans="2:19">
      <c r="B18" s="6" t="s">
        <v>30</v>
      </c>
      <c r="C18" s="7"/>
      <c r="D18" s="7"/>
      <c r="E18" s="8" t="s">
        <v>16</v>
      </c>
      <c r="F18" s="9" t="s">
        <v>31</v>
      </c>
      <c r="G18" s="9"/>
      <c r="H18" s="8" t="s">
        <v>37</v>
      </c>
      <c r="L18" s="7"/>
      <c r="M18" s="7"/>
      <c r="N18" s="80"/>
      <c r="O18" s="7"/>
      <c r="P18" s="7"/>
      <c r="Q18" s="80"/>
      <c r="R18" s="7">
        <v>100</v>
      </c>
      <c r="S18" s="7">
        <v>0</v>
      </c>
    </row>
    <row r="19" spans="2:19">
      <c r="B19" s="6" t="s">
        <v>32</v>
      </c>
      <c r="C19" s="10"/>
      <c r="D19" s="7"/>
      <c r="E19" s="8" t="s">
        <v>16</v>
      </c>
      <c r="F19" s="9" t="s">
        <v>33</v>
      </c>
      <c r="G19" s="9"/>
      <c r="H19" s="8" t="s">
        <v>37</v>
      </c>
      <c r="L19" s="10"/>
      <c r="M19" s="7"/>
      <c r="N19" s="80"/>
      <c r="O19" s="10"/>
      <c r="P19" s="7"/>
      <c r="Q19" s="80"/>
      <c r="R19" s="10">
        <v>5</v>
      </c>
      <c r="S19" s="7">
        <v>0</v>
      </c>
    </row>
    <row r="20" spans="2:19">
      <c r="B20" s="6" t="s">
        <v>34</v>
      </c>
      <c r="C20" s="7"/>
      <c r="D20" s="7"/>
      <c r="E20" s="8" t="s">
        <v>36</v>
      </c>
      <c r="F20" s="9"/>
      <c r="G20" s="9"/>
      <c r="H20" s="8" t="s">
        <v>37</v>
      </c>
      <c r="L20" s="7"/>
      <c r="M20" s="7"/>
      <c r="N20" s="80"/>
      <c r="O20" s="7"/>
      <c r="P20" s="7"/>
      <c r="Q20" s="80"/>
      <c r="R20" s="7" t="s">
        <v>35</v>
      </c>
      <c r="S20" s="7">
        <v>0</v>
      </c>
    </row>
    <row r="21" spans="2:19">
      <c r="B21" s="6" t="s">
        <v>38</v>
      </c>
      <c r="C21" s="10"/>
      <c r="D21" s="7"/>
      <c r="E21" s="8" t="s">
        <v>36</v>
      </c>
      <c r="F21" s="9"/>
      <c r="G21" s="9"/>
      <c r="H21" s="8" t="s">
        <v>37</v>
      </c>
      <c r="L21" s="10"/>
      <c r="M21" s="7"/>
      <c r="N21" s="80"/>
      <c r="O21" s="10"/>
      <c r="P21" s="7"/>
      <c r="Q21" s="80"/>
      <c r="R21" s="10" t="s">
        <v>35</v>
      </c>
      <c r="S21" s="7">
        <v>0</v>
      </c>
    </row>
    <row r="22" spans="2:19">
      <c r="B22" s="6" t="s">
        <v>39</v>
      </c>
      <c r="C22" s="7"/>
      <c r="D22" s="7"/>
      <c r="E22" s="8" t="s">
        <v>40</v>
      </c>
      <c r="F22" s="9" t="s">
        <v>41</v>
      </c>
      <c r="G22" s="9"/>
      <c r="H22" s="8" t="s">
        <v>37</v>
      </c>
      <c r="L22" s="7"/>
      <c r="M22" s="7"/>
      <c r="N22" s="80"/>
      <c r="O22" s="7"/>
      <c r="P22" s="7"/>
      <c r="Q22" s="80"/>
      <c r="R22" s="7">
        <v>15000</v>
      </c>
      <c r="S22" s="7">
        <v>0</v>
      </c>
    </row>
    <row r="23" spans="2:19">
      <c r="B23" s="6" t="s">
        <v>42</v>
      </c>
      <c r="C23" s="10"/>
      <c r="D23" s="7"/>
      <c r="E23" s="8" t="s">
        <v>16</v>
      </c>
      <c r="F23" s="9" t="s">
        <v>43</v>
      </c>
      <c r="G23" s="9"/>
      <c r="H23" s="8" t="s">
        <v>37</v>
      </c>
      <c r="L23" s="10"/>
      <c r="M23" s="7"/>
      <c r="N23" s="80"/>
      <c r="O23" s="10"/>
      <c r="P23" s="7"/>
      <c r="Q23" s="80"/>
      <c r="R23" s="10">
        <v>150</v>
      </c>
      <c r="S23" s="7">
        <v>0</v>
      </c>
    </row>
    <row r="24" spans="2:19">
      <c r="B24" s="6" t="s">
        <v>44</v>
      </c>
      <c r="C24" s="7"/>
      <c r="D24" s="7"/>
      <c r="E24" s="8" t="s">
        <v>16</v>
      </c>
      <c r="F24" s="9" t="s">
        <v>45</v>
      </c>
      <c r="G24" s="9"/>
      <c r="H24" s="8" t="s">
        <v>37</v>
      </c>
      <c r="L24" s="7"/>
      <c r="M24" s="7"/>
      <c r="N24" s="80"/>
      <c r="O24" s="7"/>
      <c r="P24" s="7"/>
      <c r="Q24" s="80"/>
      <c r="R24" s="7">
        <v>50</v>
      </c>
      <c r="S24" s="7">
        <v>0</v>
      </c>
    </row>
    <row r="25" spans="2:19">
      <c r="B25" s="6" t="s">
        <v>46</v>
      </c>
      <c r="C25" s="10"/>
      <c r="D25" s="7"/>
      <c r="E25" s="8" t="s">
        <v>16</v>
      </c>
      <c r="F25" s="9" t="s">
        <v>45</v>
      </c>
      <c r="G25" s="9"/>
      <c r="H25" s="8" t="s">
        <v>37</v>
      </c>
      <c r="L25" s="10"/>
      <c r="M25" s="7"/>
      <c r="N25" s="80"/>
      <c r="O25" s="10"/>
      <c r="P25" s="7"/>
      <c r="Q25" s="80"/>
      <c r="R25" s="10">
        <v>150</v>
      </c>
      <c r="S25" s="7">
        <v>0</v>
      </c>
    </row>
    <row r="26" spans="2:19">
      <c r="B26" s="94" t="s">
        <v>47</v>
      </c>
      <c r="C26" s="47"/>
      <c r="D26" s="47"/>
      <c r="E26" s="95" t="s">
        <v>16</v>
      </c>
      <c r="F26" s="96"/>
      <c r="G26" s="96"/>
      <c r="H26" s="8" t="s">
        <v>37</v>
      </c>
      <c r="L26" s="7"/>
      <c r="M26" s="7"/>
      <c r="N26" s="80"/>
      <c r="O26" s="7"/>
      <c r="P26" s="7"/>
      <c r="Q26" s="80"/>
      <c r="R26" s="47">
        <v>0.373</v>
      </c>
      <c r="S26" s="47">
        <v>0</v>
      </c>
    </row>
    <row r="27" spans="2:19">
      <c r="B27" s="153" t="s">
        <v>328</v>
      </c>
      <c r="C27" s="9"/>
      <c r="D27" s="9"/>
      <c r="E27" s="9" t="s">
        <v>16</v>
      </c>
      <c r="F27" s="9" t="s">
        <v>329</v>
      </c>
      <c r="G27" s="9"/>
      <c r="H27" s="8" t="s">
        <v>37</v>
      </c>
      <c r="L27" s="81"/>
      <c r="M27" s="82"/>
      <c r="N27" s="83"/>
      <c r="O27" s="81"/>
      <c r="P27" s="82"/>
      <c r="Q27" s="83"/>
      <c r="R27" s="9">
        <v>0</v>
      </c>
      <c r="S27" s="9">
        <v>0</v>
      </c>
    </row>
    <row r="28" spans="2:19">
      <c r="B28" s="153"/>
      <c r="C28" s="9"/>
      <c r="D28" s="9"/>
      <c r="E28" s="9" t="s">
        <v>16</v>
      </c>
      <c r="F28" s="9" t="s">
        <v>330</v>
      </c>
      <c r="G28" s="9"/>
      <c r="H28" s="8" t="s">
        <v>37</v>
      </c>
      <c r="L28" s="81"/>
      <c r="M28" s="82"/>
      <c r="N28" s="83"/>
      <c r="O28" s="81"/>
      <c r="P28" s="82"/>
      <c r="Q28" s="83"/>
      <c r="R28" s="9">
        <v>1.7743999999999999E-2</v>
      </c>
      <c r="S28" s="9">
        <v>0</v>
      </c>
    </row>
    <row r="29" spans="2:19">
      <c r="B29" s="153"/>
      <c r="C29" s="9"/>
      <c r="D29" s="9"/>
      <c r="E29" s="9" t="s">
        <v>16</v>
      </c>
      <c r="F29" s="9" t="s">
        <v>331</v>
      </c>
      <c r="G29" s="9"/>
      <c r="H29" s="8" t="s">
        <v>37</v>
      </c>
      <c r="L29" s="81"/>
      <c r="M29" s="82"/>
      <c r="N29" s="83"/>
      <c r="O29" s="81"/>
      <c r="P29" s="82"/>
      <c r="Q29" s="83"/>
      <c r="R29" s="9">
        <v>2.6616000000000001E-2</v>
      </c>
      <c r="S29" s="9">
        <v>0</v>
      </c>
    </row>
    <row r="30" spans="2:19">
      <c r="B30" s="153"/>
      <c r="C30" s="9"/>
      <c r="D30" s="9"/>
      <c r="E30" s="9" t="s">
        <v>16</v>
      </c>
      <c r="F30" s="9" t="s">
        <v>332</v>
      </c>
      <c r="G30" s="9"/>
      <c r="H30" s="8" t="s">
        <v>37</v>
      </c>
      <c r="L30" s="81"/>
      <c r="M30" s="82"/>
      <c r="N30" s="83"/>
      <c r="O30" s="81"/>
      <c r="P30" s="82"/>
      <c r="Q30" s="83"/>
      <c r="R30" s="9">
        <v>3.9924000000000001E-2</v>
      </c>
      <c r="S30" s="9">
        <v>0</v>
      </c>
    </row>
    <row r="31" spans="2:19">
      <c r="B31" s="153"/>
      <c r="C31" s="9"/>
      <c r="D31" s="9"/>
      <c r="E31" s="9" t="s">
        <v>16</v>
      </c>
      <c r="F31" s="9" t="s">
        <v>333</v>
      </c>
      <c r="G31" s="9"/>
      <c r="H31" s="8" t="s">
        <v>37</v>
      </c>
      <c r="L31" s="81"/>
      <c r="M31" s="82"/>
      <c r="N31" s="83"/>
      <c r="O31" s="81"/>
      <c r="P31" s="82"/>
      <c r="Q31" s="83"/>
      <c r="R31" s="9">
        <v>5.3232000000000002E-2</v>
      </c>
      <c r="S31" s="9">
        <v>0</v>
      </c>
    </row>
    <row r="32" spans="2:19">
      <c r="L32" s="81"/>
      <c r="M32" s="82"/>
      <c r="N32" s="83"/>
      <c r="O32" s="81"/>
      <c r="P32" s="82"/>
      <c r="Q32" s="83"/>
      <c r="R32" s="81"/>
      <c r="S32" s="82"/>
    </row>
    <row r="33" spans="12:19">
      <c r="L33" s="82"/>
      <c r="M33" s="82"/>
      <c r="N33" s="83"/>
      <c r="O33" s="82"/>
      <c r="P33" s="82"/>
      <c r="Q33" s="83"/>
      <c r="R33" s="82"/>
      <c r="S33" s="82"/>
    </row>
    <row r="34" spans="12:19">
      <c r="L34" s="82"/>
      <c r="M34" s="82"/>
      <c r="N34" s="83"/>
      <c r="O34" s="82"/>
      <c r="P34" s="82"/>
      <c r="Q34" s="83"/>
      <c r="R34" s="82"/>
      <c r="S34" s="82"/>
    </row>
    <row r="35" spans="12:19">
      <c r="L35" s="82"/>
      <c r="M35" s="82"/>
      <c r="N35" s="83"/>
      <c r="O35" s="82"/>
      <c r="P35" s="82"/>
      <c r="Q35" s="83"/>
      <c r="R35" s="82"/>
      <c r="S35" s="82"/>
    </row>
    <row r="36" spans="12:19">
      <c r="L36" s="84"/>
      <c r="M36" s="84"/>
      <c r="N36" s="83"/>
      <c r="O36" s="84"/>
      <c r="P36" s="84"/>
      <c r="Q36" s="83"/>
      <c r="R36" s="84"/>
      <c r="S36" s="84"/>
    </row>
    <row r="37" spans="12:19">
      <c r="L37" s="85"/>
      <c r="M37" s="85"/>
      <c r="O37" s="85"/>
      <c r="P37" s="85"/>
      <c r="R37" s="85"/>
      <c r="S37" s="85"/>
    </row>
    <row r="38" spans="12:19">
      <c r="L38" s="87"/>
      <c r="M38" s="88"/>
      <c r="O38" s="87"/>
      <c r="P38" s="88"/>
      <c r="R38" s="87"/>
      <c r="S38" s="88"/>
    </row>
    <row r="39" spans="12:19">
      <c r="L39" s="87"/>
      <c r="M39" s="88"/>
      <c r="O39" s="87"/>
      <c r="P39" s="88"/>
      <c r="R39" s="87"/>
      <c r="S39" s="88"/>
    </row>
    <row r="40" spans="12:19">
      <c r="L40" s="87"/>
      <c r="M40" s="88"/>
      <c r="O40" s="87"/>
      <c r="P40" s="88"/>
      <c r="R40" s="87"/>
      <c r="S40" s="88"/>
    </row>
    <row r="41" spans="12:19">
      <c r="L41" s="87"/>
      <c r="M41" s="88"/>
      <c r="O41" s="87"/>
      <c r="P41" s="88"/>
      <c r="R41" s="87"/>
      <c r="S41" s="88"/>
    </row>
    <row r="42" spans="12:19">
      <c r="L42" s="87"/>
      <c r="M42" s="88"/>
      <c r="O42" s="87"/>
      <c r="P42" s="88"/>
      <c r="R42" s="87"/>
      <c r="S42" s="88"/>
    </row>
    <row r="43" spans="12:19">
      <c r="L43" s="89"/>
      <c r="M43" s="88"/>
      <c r="O43" s="89"/>
      <c r="P43" s="88"/>
      <c r="R43" s="89"/>
      <c r="S43" s="88"/>
    </row>
    <row r="44" spans="12:19">
      <c r="L44" s="87"/>
      <c r="M44" s="88"/>
      <c r="O44" s="87"/>
      <c r="P44" s="88"/>
      <c r="R44" s="87"/>
      <c r="S44" s="88"/>
    </row>
    <row r="45" spans="12:19">
      <c r="L45" s="87"/>
      <c r="M45" s="88"/>
      <c r="O45" s="87"/>
      <c r="P45" s="88"/>
      <c r="R45" s="87"/>
      <c r="S45" s="88"/>
    </row>
    <row r="46" spans="12:19">
      <c r="L46" s="87"/>
      <c r="M46" s="88"/>
      <c r="O46" s="87"/>
      <c r="P46" s="88"/>
      <c r="R46" s="87"/>
      <c r="S46" s="88"/>
    </row>
    <row r="47" spans="12:19">
      <c r="L47" s="87"/>
      <c r="M47" s="88"/>
      <c r="O47" s="87"/>
      <c r="P47" s="88"/>
      <c r="R47" s="87"/>
      <c r="S47" s="88"/>
    </row>
    <row r="48" spans="12:19">
      <c r="L48" s="87"/>
      <c r="M48" s="88"/>
      <c r="O48" s="87"/>
      <c r="P48" s="88"/>
      <c r="R48" s="87"/>
      <c r="S48" s="88"/>
    </row>
    <row r="49" spans="12:19">
      <c r="L49" s="89"/>
      <c r="M49" s="88"/>
      <c r="O49" s="89"/>
      <c r="P49" s="88"/>
      <c r="R49" s="89"/>
      <c r="S49" s="88"/>
    </row>
    <row r="50" spans="12:19">
      <c r="L50" s="87"/>
      <c r="M50" s="88"/>
      <c r="O50" s="87"/>
      <c r="P50" s="88"/>
      <c r="R50" s="87"/>
      <c r="S50" s="88"/>
    </row>
    <row r="51" spans="12:19">
      <c r="L51" s="87"/>
      <c r="M51" s="88"/>
      <c r="O51" s="87"/>
      <c r="P51" s="88"/>
      <c r="R51" s="87"/>
      <c r="S51" s="88"/>
    </row>
    <row r="52" spans="12:19">
      <c r="L52" s="87"/>
      <c r="M52" s="88"/>
      <c r="O52" s="87"/>
      <c r="P52" s="88"/>
      <c r="R52" s="87"/>
      <c r="S52" s="88"/>
    </row>
    <row r="53" spans="12:19">
      <c r="L53" s="87"/>
      <c r="M53" s="88"/>
      <c r="O53" s="87"/>
      <c r="P53" s="88"/>
      <c r="R53" s="87"/>
      <c r="S53" s="88"/>
    </row>
    <row r="54" spans="12:19">
      <c r="L54" s="87"/>
      <c r="M54" s="88"/>
      <c r="O54" s="87"/>
      <c r="P54" s="88"/>
      <c r="R54" s="87"/>
      <c r="S54" s="88"/>
    </row>
    <row r="55" spans="12:19">
      <c r="L55" s="89"/>
      <c r="M55" s="88"/>
      <c r="O55" s="89"/>
      <c r="P55" s="88"/>
      <c r="R55" s="89"/>
      <c r="S55" s="88"/>
    </row>
    <row r="56" spans="12:19">
      <c r="L56" s="87"/>
      <c r="M56" s="88"/>
      <c r="O56" s="87"/>
      <c r="P56" s="88"/>
      <c r="R56" s="87"/>
      <c r="S56" s="88"/>
    </row>
    <row r="57" spans="12:19">
      <c r="L57" s="87"/>
      <c r="M57" s="88"/>
      <c r="O57" s="87"/>
      <c r="P57" s="88"/>
      <c r="R57" s="87"/>
      <c r="S57" s="88"/>
    </row>
    <row r="58" spans="12:19">
      <c r="L58" s="87"/>
      <c r="M58" s="88"/>
      <c r="O58" s="87"/>
      <c r="P58" s="88"/>
      <c r="R58" s="87"/>
      <c r="S58" s="88"/>
    </row>
    <row r="59" spans="12:19">
      <c r="L59" s="87"/>
      <c r="M59" s="88"/>
      <c r="O59" s="87"/>
      <c r="P59" s="88"/>
      <c r="R59" s="87"/>
      <c r="S59" s="88"/>
    </row>
    <row r="60" spans="12:19">
      <c r="L60" s="87"/>
      <c r="M60" s="88"/>
      <c r="O60" s="87"/>
      <c r="P60" s="88"/>
      <c r="R60" s="87"/>
      <c r="S60" s="88"/>
    </row>
    <row r="61" spans="12:19">
      <c r="L61" s="89"/>
      <c r="M61" s="88"/>
      <c r="O61" s="89"/>
      <c r="P61" s="88"/>
      <c r="R61" s="89"/>
      <c r="S61" s="88"/>
    </row>
    <row r="62" spans="12:19">
      <c r="L62" s="85"/>
      <c r="M62" s="85"/>
      <c r="O62" s="85"/>
      <c r="P62" s="85"/>
      <c r="R62" s="85"/>
      <c r="S62" s="85"/>
    </row>
    <row r="63" spans="12:19">
      <c r="L63" s="85"/>
      <c r="M63" s="85"/>
      <c r="O63" s="85"/>
      <c r="P63" s="85"/>
      <c r="R63" s="85"/>
      <c r="S63" s="85"/>
    </row>
    <row r="64" spans="12:19">
      <c r="L64" s="85"/>
      <c r="M64" s="85"/>
      <c r="O64" s="85"/>
      <c r="P64" s="85"/>
      <c r="R64" s="85"/>
      <c r="S64" s="85"/>
    </row>
    <row r="65" spans="12:19">
      <c r="L65" s="85"/>
      <c r="M65" s="85"/>
      <c r="O65" s="85"/>
      <c r="P65" s="85"/>
      <c r="R65" s="85"/>
      <c r="S65" s="85"/>
    </row>
    <row r="66" spans="12:19">
      <c r="L66" s="85"/>
      <c r="M66" s="85"/>
      <c r="O66" s="85"/>
      <c r="P66" s="85"/>
      <c r="R66" s="85"/>
      <c r="S66" s="85"/>
    </row>
    <row r="67" spans="12:19">
      <c r="L67" s="85"/>
      <c r="M67" s="85"/>
      <c r="O67" s="85"/>
      <c r="P67" s="85"/>
      <c r="R67" s="85"/>
      <c r="S67" s="85"/>
    </row>
    <row r="68" spans="12:19">
      <c r="L68" s="85"/>
      <c r="M68" s="85"/>
      <c r="O68" s="85"/>
      <c r="P68" s="85"/>
      <c r="R68" s="85"/>
      <c r="S68" s="85"/>
    </row>
    <row r="69" spans="12:19">
      <c r="L69" s="85"/>
      <c r="M69" s="85"/>
      <c r="O69" s="85"/>
      <c r="P69" s="85"/>
      <c r="R69" s="85"/>
      <c r="S69" s="85"/>
    </row>
    <row r="70" spans="12:19">
      <c r="L70" s="85"/>
      <c r="M70" s="85"/>
      <c r="O70" s="85"/>
      <c r="P70" s="85"/>
      <c r="R70" s="85"/>
      <c r="S70" s="85"/>
    </row>
    <row r="71" spans="12:19">
      <c r="L71" s="85"/>
      <c r="M71" s="85"/>
      <c r="O71" s="85"/>
      <c r="P71" s="85"/>
      <c r="R71" s="85"/>
      <c r="S71" s="85"/>
    </row>
    <row r="72" spans="12:19">
      <c r="L72" s="85"/>
      <c r="M72" s="85"/>
      <c r="O72" s="85"/>
      <c r="P72" s="85"/>
      <c r="R72" s="85"/>
      <c r="S72" s="85"/>
    </row>
    <row r="73" spans="12:19">
      <c r="L73" s="85"/>
      <c r="M73" s="85"/>
      <c r="O73" s="85"/>
      <c r="P73" s="85"/>
      <c r="R73" s="85"/>
      <c r="S73" s="85"/>
    </row>
    <row r="74" spans="12:19">
      <c r="L74" s="85"/>
      <c r="M74" s="85"/>
      <c r="O74" s="85"/>
      <c r="P74" s="85"/>
      <c r="R74" s="85"/>
      <c r="S74" s="85"/>
    </row>
    <row r="75" spans="12:19">
      <c r="L75" s="85"/>
      <c r="M75" s="85"/>
      <c r="O75" s="85"/>
      <c r="P75" s="85"/>
      <c r="R75" s="85"/>
      <c r="S75" s="85"/>
    </row>
    <row r="76" spans="12:19">
      <c r="L76" s="85"/>
      <c r="M76" s="85"/>
      <c r="O76" s="85"/>
      <c r="P76" s="85"/>
      <c r="R76" s="85"/>
      <c r="S76" s="85"/>
    </row>
    <row r="77" spans="12:19">
      <c r="L77" s="85"/>
      <c r="M77" s="85"/>
      <c r="O77" s="85"/>
      <c r="P77" s="85"/>
      <c r="R77" s="85"/>
      <c r="S77" s="85"/>
    </row>
    <row r="78" spans="12:19">
      <c r="L78" s="85"/>
      <c r="M78" s="85"/>
      <c r="O78" s="85"/>
      <c r="P78" s="85"/>
      <c r="R78" s="85"/>
      <c r="S78" s="85"/>
    </row>
    <row r="79" spans="12:19">
      <c r="L79" s="85"/>
      <c r="M79" s="85"/>
      <c r="O79" s="85"/>
      <c r="P79" s="85"/>
      <c r="R79" s="85"/>
      <c r="S79" s="85"/>
    </row>
    <row r="80" spans="12:19">
      <c r="L80" s="85"/>
      <c r="M80" s="85"/>
      <c r="O80" s="85"/>
      <c r="P80" s="85"/>
      <c r="R80" s="85"/>
      <c r="S80" s="85"/>
    </row>
    <row r="81" spans="12:19">
      <c r="L81" s="85"/>
      <c r="M81" s="85"/>
      <c r="O81" s="85"/>
      <c r="P81" s="85"/>
      <c r="R81" s="85"/>
      <c r="S81" s="85"/>
    </row>
    <row r="82" spans="12:19">
      <c r="L82" s="85"/>
      <c r="M82" s="85"/>
      <c r="O82" s="85"/>
      <c r="P82" s="85"/>
      <c r="R82" s="85"/>
      <c r="S82" s="85"/>
    </row>
    <row r="83" spans="12:19">
      <c r="L83" s="85"/>
      <c r="M83" s="85"/>
      <c r="O83" s="85"/>
      <c r="P83" s="85"/>
      <c r="R83" s="85"/>
      <c r="S83" s="85"/>
    </row>
    <row r="84" spans="12:19">
      <c r="L84" s="85"/>
      <c r="M84" s="85"/>
      <c r="O84" s="85"/>
      <c r="P84" s="85"/>
      <c r="R84" s="85"/>
      <c r="S84" s="85"/>
    </row>
    <row r="85" spans="12:19">
      <c r="L85" s="85"/>
      <c r="M85" s="85"/>
      <c r="O85" s="85"/>
      <c r="P85" s="85"/>
      <c r="R85" s="85"/>
      <c r="S85" s="85"/>
    </row>
    <row r="86" spans="12:19">
      <c r="L86" s="85"/>
      <c r="M86" s="85"/>
      <c r="O86" s="85"/>
      <c r="P86" s="85"/>
      <c r="R86" s="85"/>
      <c r="S86" s="85"/>
    </row>
    <row r="87" spans="12:19">
      <c r="L87" s="85"/>
      <c r="M87" s="85"/>
      <c r="O87" s="85"/>
      <c r="P87" s="85"/>
      <c r="R87" s="85"/>
      <c r="S87" s="85"/>
    </row>
    <row r="88" spans="12:19">
      <c r="L88" s="85"/>
      <c r="M88" s="85"/>
      <c r="O88" s="85"/>
      <c r="P88" s="85"/>
      <c r="R88" s="85"/>
      <c r="S88" s="85"/>
    </row>
    <row r="89" spans="12:19">
      <c r="L89" s="85"/>
      <c r="M89" s="85"/>
      <c r="O89" s="85"/>
      <c r="P89" s="85"/>
      <c r="R89" s="85"/>
      <c r="S89" s="85"/>
    </row>
    <row r="90" spans="12:19">
      <c r="L90" s="85"/>
      <c r="M90" s="85"/>
      <c r="O90" s="85"/>
      <c r="P90" s="85"/>
      <c r="R90" s="85"/>
      <c r="S90" s="85"/>
    </row>
    <row r="91" spans="12:19">
      <c r="L91" s="85"/>
      <c r="M91" s="85"/>
      <c r="O91" s="85"/>
      <c r="P91" s="85"/>
      <c r="R91" s="85"/>
      <c r="S91" s="85"/>
    </row>
    <row r="92" spans="12:19">
      <c r="L92" s="85"/>
      <c r="M92" s="85"/>
      <c r="O92" s="85"/>
      <c r="P92" s="85"/>
      <c r="R92" s="85"/>
      <c r="S92" s="85"/>
    </row>
    <row r="93" spans="12:19">
      <c r="L93" s="85"/>
      <c r="M93" s="85"/>
      <c r="O93" s="85"/>
      <c r="P93" s="85"/>
      <c r="R93" s="85"/>
      <c r="S93" s="85"/>
    </row>
    <row r="94" spans="12:19">
      <c r="L94" s="85"/>
      <c r="M94" s="85"/>
      <c r="O94" s="85"/>
      <c r="P94" s="85"/>
      <c r="R94" s="85"/>
      <c r="S94" s="85"/>
    </row>
    <row r="95" spans="12:19">
      <c r="L95" s="85"/>
      <c r="M95" s="85"/>
      <c r="O95" s="85"/>
      <c r="P95" s="85"/>
      <c r="R95" s="85"/>
      <c r="S95" s="85"/>
    </row>
    <row r="96" spans="12:19">
      <c r="L96" s="85"/>
      <c r="M96" s="85"/>
      <c r="O96" s="85"/>
      <c r="P96" s="85"/>
      <c r="R96" s="85"/>
      <c r="S96" s="85"/>
    </row>
    <row r="97" spans="12:19">
      <c r="L97" s="85"/>
      <c r="M97" s="85"/>
      <c r="O97" s="85"/>
      <c r="P97" s="85"/>
      <c r="R97" s="85"/>
      <c r="S97" s="85"/>
    </row>
    <row r="98" spans="12:19">
      <c r="L98" s="85"/>
      <c r="M98" s="85"/>
      <c r="O98" s="85"/>
      <c r="P98" s="85"/>
      <c r="R98" s="85"/>
      <c r="S98" s="85"/>
    </row>
    <row r="99" spans="12:19">
      <c r="L99" s="85"/>
      <c r="M99" s="85"/>
      <c r="O99" s="85"/>
      <c r="P99" s="85"/>
      <c r="R99" s="85"/>
      <c r="S99" s="85"/>
    </row>
    <row r="100" spans="12:19">
      <c r="L100" s="85"/>
      <c r="M100" s="85"/>
      <c r="O100" s="85"/>
      <c r="P100" s="85"/>
      <c r="R100" s="85"/>
      <c r="S100" s="85"/>
    </row>
    <row r="101" spans="12:19">
      <c r="L101" s="85"/>
      <c r="M101" s="85"/>
      <c r="O101" s="85"/>
      <c r="P101" s="85"/>
      <c r="R101" s="85"/>
      <c r="S101" s="85"/>
    </row>
    <row r="102" spans="12:19">
      <c r="L102" s="85"/>
      <c r="M102" s="85"/>
      <c r="O102" s="85"/>
      <c r="P102" s="85"/>
      <c r="R102" s="85"/>
      <c r="S102" s="85"/>
    </row>
    <row r="103" spans="12:19">
      <c r="L103" s="85"/>
      <c r="M103" s="85"/>
      <c r="O103" s="85"/>
      <c r="P103" s="85"/>
      <c r="R103" s="85"/>
      <c r="S103" s="85"/>
    </row>
    <row r="104" spans="12:19">
      <c r="L104" s="85"/>
      <c r="M104" s="85"/>
      <c r="O104" s="85"/>
      <c r="P104" s="85"/>
      <c r="R104" s="85"/>
      <c r="S104" s="85"/>
    </row>
    <row r="105" spans="12:19">
      <c r="L105" s="85"/>
      <c r="M105" s="85"/>
      <c r="O105" s="85"/>
      <c r="P105" s="85"/>
      <c r="R105" s="85"/>
      <c r="S105" s="85"/>
    </row>
    <row r="106" spans="12:19">
      <c r="L106" s="85"/>
      <c r="M106" s="85"/>
      <c r="O106" s="85"/>
      <c r="P106" s="85"/>
      <c r="R106" s="85"/>
      <c r="S106" s="85"/>
    </row>
    <row r="107" spans="12:19">
      <c r="L107" s="85"/>
      <c r="M107" s="85"/>
      <c r="O107" s="85"/>
      <c r="P107" s="85"/>
      <c r="R107" s="85"/>
      <c r="S107" s="85"/>
    </row>
    <row r="108" spans="12:19">
      <c r="L108" s="85"/>
      <c r="M108" s="85"/>
      <c r="O108" s="85"/>
      <c r="P108" s="85"/>
      <c r="R108" s="85"/>
      <c r="S108" s="85"/>
    </row>
    <row r="109" spans="12:19">
      <c r="L109" s="85"/>
      <c r="M109" s="85"/>
      <c r="O109" s="85"/>
      <c r="P109" s="85"/>
      <c r="R109" s="85"/>
      <c r="S109" s="85"/>
    </row>
    <row r="110" spans="12:19">
      <c r="L110" s="85"/>
      <c r="M110" s="85"/>
      <c r="O110" s="85"/>
      <c r="P110" s="85"/>
      <c r="R110" s="85"/>
      <c r="S110" s="85"/>
    </row>
    <row r="111" spans="12:19">
      <c r="L111" s="85"/>
      <c r="M111" s="85"/>
      <c r="O111" s="85"/>
      <c r="P111" s="85"/>
      <c r="R111" s="85"/>
      <c r="S111" s="85"/>
    </row>
    <row r="112" spans="12:19">
      <c r="L112" s="85"/>
      <c r="M112" s="85"/>
      <c r="O112" s="85"/>
      <c r="P112" s="85"/>
      <c r="R112" s="85"/>
      <c r="S112" s="85"/>
    </row>
    <row r="113" spans="12:19">
      <c r="L113" s="85"/>
      <c r="M113" s="85"/>
      <c r="O113" s="85"/>
      <c r="P113" s="85"/>
      <c r="R113" s="85"/>
      <c r="S113" s="85"/>
    </row>
    <row r="114" spans="12:19">
      <c r="L114" s="85"/>
      <c r="M114" s="85"/>
      <c r="O114" s="85"/>
      <c r="P114" s="85"/>
      <c r="R114" s="85"/>
      <c r="S114" s="85"/>
    </row>
    <row r="115" spans="12:19">
      <c r="L115" s="85"/>
      <c r="M115" s="85"/>
      <c r="O115" s="85"/>
      <c r="P115" s="85"/>
      <c r="R115" s="85"/>
      <c r="S115" s="85"/>
    </row>
    <row r="116" spans="12:19">
      <c r="L116" s="85"/>
      <c r="M116" s="85"/>
      <c r="O116" s="85"/>
      <c r="P116" s="85"/>
      <c r="R116" s="85"/>
      <c r="S116" s="85"/>
    </row>
    <row r="117" spans="12:19">
      <c r="L117" s="85"/>
      <c r="M117" s="85"/>
      <c r="O117" s="85"/>
      <c r="P117" s="85"/>
      <c r="R117" s="85"/>
      <c r="S117" s="85"/>
    </row>
    <row r="118" spans="12:19">
      <c r="L118" s="85"/>
      <c r="M118" s="85"/>
      <c r="O118" s="85"/>
      <c r="P118" s="85"/>
      <c r="R118" s="85"/>
      <c r="S118" s="85"/>
    </row>
    <row r="119" spans="12:19">
      <c r="L119" s="85"/>
      <c r="M119" s="85"/>
      <c r="O119" s="85"/>
      <c r="P119" s="85"/>
      <c r="R119" s="85"/>
      <c r="S119" s="85"/>
    </row>
    <row r="120" spans="12:19">
      <c r="L120" s="85"/>
      <c r="M120" s="85"/>
      <c r="O120" s="85"/>
      <c r="P120" s="85"/>
      <c r="R120" s="85"/>
      <c r="S120" s="85"/>
    </row>
    <row r="121" spans="12:19">
      <c r="L121" s="85"/>
      <c r="M121" s="85"/>
      <c r="O121" s="85"/>
      <c r="P121" s="85"/>
      <c r="R121" s="85"/>
      <c r="S121" s="85"/>
    </row>
    <row r="122" spans="12:19">
      <c r="L122" s="85"/>
      <c r="M122" s="85"/>
      <c r="O122" s="85"/>
      <c r="P122" s="85"/>
      <c r="R122" s="85"/>
      <c r="S122" s="85"/>
    </row>
    <row r="123" spans="12:19">
      <c r="L123" s="85"/>
      <c r="M123" s="85"/>
      <c r="O123" s="85"/>
      <c r="P123" s="85"/>
      <c r="R123" s="85"/>
      <c r="S123" s="85"/>
    </row>
    <row r="124" spans="12:19">
      <c r="L124" s="85"/>
      <c r="M124" s="85"/>
      <c r="O124" s="85"/>
      <c r="P124" s="85"/>
      <c r="R124" s="85"/>
      <c r="S124" s="85"/>
    </row>
    <row r="125" spans="12:19">
      <c r="L125" s="85"/>
      <c r="M125" s="85"/>
      <c r="O125" s="85"/>
      <c r="P125" s="85"/>
      <c r="R125" s="85"/>
      <c r="S125" s="85"/>
    </row>
    <row r="126" spans="12:19">
      <c r="L126" s="85"/>
      <c r="M126" s="85"/>
      <c r="O126" s="85"/>
      <c r="P126" s="85"/>
      <c r="R126" s="85"/>
      <c r="S126" s="85"/>
    </row>
    <row r="127" spans="12:19">
      <c r="L127" s="85"/>
      <c r="M127" s="85"/>
      <c r="O127" s="85"/>
      <c r="P127" s="85"/>
      <c r="R127" s="85"/>
      <c r="S127" s="85"/>
    </row>
    <row r="128" spans="12:19">
      <c r="L128" s="85"/>
      <c r="M128" s="85"/>
      <c r="O128" s="85"/>
      <c r="P128" s="85"/>
      <c r="R128" s="85"/>
      <c r="S128" s="85"/>
    </row>
    <row r="129" spans="12:19">
      <c r="L129" s="85"/>
      <c r="M129" s="85"/>
      <c r="O129" s="85"/>
      <c r="P129" s="85"/>
      <c r="R129" s="85"/>
      <c r="S129" s="85"/>
    </row>
    <row r="130" spans="12:19">
      <c r="L130" s="85"/>
      <c r="M130" s="85"/>
      <c r="O130" s="85"/>
      <c r="P130" s="85"/>
      <c r="R130" s="85"/>
      <c r="S130" s="85"/>
    </row>
    <row r="131" spans="12:19">
      <c r="L131" s="85"/>
      <c r="M131" s="85"/>
      <c r="O131" s="85"/>
      <c r="P131" s="85"/>
      <c r="R131" s="85"/>
      <c r="S131" s="85"/>
    </row>
    <row r="132" spans="12:19">
      <c r="L132" s="85"/>
      <c r="M132" s="85"/>
      <c r="O132" s="85"/>
      <c r="P132" s="85"/>
      <c r="R132" s="85"/>
      <c r="S132" s="85"/>
    </row>
    <row r="133" spans="12:19">
      <c r="L133" s="85"/>
      <c r="M133" s="85"/>
      <c r="O133" s="85"/>
      <c r="P133" s="85"/>
      <c r="R133" s="85"/>
      <c r="S133" s="85"/>
    </row>
    <row r="134" spans="12:19">
      <c r="L134" s="85"/>
      <c r="M134" s="85"/>
      <c r="O134" s="85"/>
      <c r="P134" s="85"/>
      <c r="R134" s="85"/>
      <c r="S134" s="85"/>
    </row>
    <row r="135" spans="12:19">
      <c r="L135" s="85"/>
      <c r="M135" s="85"/>
      <c r="O135" s="85"/>
      <c r="P135" s="85"/>
      <c r="R135" s="85"/>
      <c r="S135" s="85"/>
    </row>
    <row r="136" spans="12:19">
      <c r="L136" s="85"/>
      <c r="M136" s="85"/>
      <c r="O136" s="85"/>
      <c r="P136" s="85"/>
      <c r="R136" s="85"/>
      <c r="S136" s="85"/>
    </row>
    <row r="137" spans="12:19">
      <c r="L137" s="85"/>
      <c r="M137" s="85"/>
      <c r="O137" s="85"/>
      <c r="P137" s="85"/>
      <c r="R137" s="85"/>
      <c r="S137" s="85"/>
    </row>
    <row r="138" spans="12:19">
      <c r="L138" s="85"/>
      <c r="M138" s="85"/>
      <c r="O138" s="85"/>
      <c r="P138" s="85"/>
      <c r="R138" s="85"/>
      <c r="S138" s="85"/>
    </row>
    <row r="139" spans="12:19">
      <c r="L139" s="85"/>
      <c r="M139" s="85"/>
      <c r="O139" s="85"/>
      <c r="P139" s="85"/>
      <c r="R139" s="85"/>
      <c r="S139" s="85"/>
    </row>
    <row r="140" spans="12:19">
      <c r="L140" s="85"/>
      <c r="M140" s="85"/>
      <c r="O140" s="85"/>
      <c r="P140" s="85"/>
      <c r="R140" s="85"/>
      <c r="S140" s="85"/>
    </row>
    <row r="141" spans="12:19">
      <c r="L141" s="85"/>
      <c r="M141" s="85"/>
      <c r="O141" s="85"/>
      <c r="P141" s="85"/>
      <c r="R141" s="85"/>
      <c r="S141" s="85"/>
    </row>
    <row r="142" spans="12:19">
      <c r="L142" s="85"/>
      <c r="M142" s="85"/>
      <c r="O142" s="85"/>
      <c r="P142" s="85"/>
      <c r="R142" s="85"/>
      <c r="S142" s="85"/>
    </row>
    <row r="143" spans="12:19">
      <c r="L143" s="85"/>
      <c r="M143" s="85"/>
      <c r="O143" s="85"/>
      <c r="P143" s="85"/>
      <c r="R143" s="85"/>
      <c r="S143" s="85"/>
    </row>
    <row r="144" spans="12:19">
      <c r="L144" s="85"/>
      <c r="M144" s="85"/>
      <c r="O144" s="85"/>
      <c r="P144" s="85"/>
      <c r="R144" s="85"/>
      <c r="S144" s="85"/>
    </row>
    <row r="145" spans="12:19">
      <c r="L145" s="85"/>
      <c r="M145" s="85"/>
      <c r="O145" s="85"/>
      <c r="P145" s="85"/>
      <c r="R145" s="85"/>
      <c r="S145" s="85"/>
    </row>
    <row r="146" spans="12:19">
      <c r="L146" s="85"/>
      <c r="M146" s="85"/>
      <c r="O146" s="85"/>
      <c r="P146" s="85"/>
      <c r="R146" s="85"/>
      <c r="S146" s="85"/>
    </row>
    <row r="147" spans="12:19">
      <c r="L147" s="85"/>
      <c r="M147" s="85"/>
      <c r="O147" s="85"/>
      <c r="P147" s="85"/>
      <c r="R147" s="85"/>
      <c r="S147" s="85"/>
    </row>
    <row r="148" spans="12:19">
      <c r="L148" s="85"/>
      <c r="M148" s="85"/>
      <c r="O148" s="85"/>
      <c r="P148" s="85"/>
      <c r="R148" s="85"/>
      <c r="S148" s="85"/>
    </row>
    <row r="149" spans="12:19">
      <c r="L149" s="85"/>
      <c r="M149" s="85"/>
      <c r="O149" s="85"/>
      <c r="P149" s="85"/>
      <c r="R149" s="85"/>
      <c r="S149" s="85"/>
    </row>
  </sheetData>
  <mergeCells count="10">
    <mergeCell ref="R1:S1"/>
    <mergeCell ref="O4:O5"/>
    <mergeCell ref="B27:B31"/>
    <mergeCell ref="B4:B5"/>
    <mergeCell ref="C4:C5"/>
    <mergeCell ref="B9:B11"/>
    <mergeCell ref="O1:P1"/>
    <mergeCell ref="L1:M1"/>
    <mergeCell ref="L4:L5"/>
    <mergeCell ref="R4:R5"/>
  </mergeCells>
  <conditionalFormatting sqref="H3:H14">
    <cfRule type="containsText" dxfId="119" priority="7" operator="containsText" text="Verified">
      <formula>NOT(ISERROR(SEARCH("Verified",H3)))</formula>
    </cfRule>
    <cfRule type="containsText" dxfId="118" priority="8" operator="containsText" text="Verified">
      <formula>NOT(ISERROR(SEARCH("Verified",H3)))</formula>
    </cfRule>
    <cfRule type="containsText" dxfId="117" priority="9" operator="containsText" text="Verified">
      <formula>NOT(ISERROR(SEARCH("Verified",H3)))</formula>
    </cfRule>
  </conditionalFormatting>
  <conditionalFormatting sqref="H15:H31">
    <cfRule type="containsText" dxfId="116" priority="4" operator="containsText" text="Verified">
      <formula>NOT(ISERROR(SEARCH("Verified",H15)))</formula>
    </cfRule>
    <cfRule type="containsText" dxfId="115" priority="5" operator="containsText" text="Verified">
      <formula>NOT(ISERROR(SEARCH("Verified",H15)))</formula>
    </cfRule>
    <cfRule type="containsText" dxfId="114" priority="6" operator="containsText" text="Verified">
      <formula>NOT(ISERROR(SEARCH("Verified",H15)))</formula>
    </cfRule>
  </conditionalFormatting>
  <conditionalFormatting sqref="H15">
    <cfRule type="containsText" dxfId="113" priority="1" operator="containsText" text="Verified">
      <formula>NOT(ISERROR(SEARCH("Verified",H15)))</formula>
    </cfRule>
    <cfRule type="containsText" dxfId="112" priority="2" operator="containsText" text="Verified">
      <formula>NOT(ISERROR(SEARCH("Verified",H15)))</formula>
    </cfRule>
    <cfRule type="containsText" dxfId="111" priority="3" operator="containsText" text="Verified">
      <formula>NOT(ISERROR(SEARCH("Verified",H15)))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135F-3B83-4543-A414-8BE41E8D7570}">
  <sheetPr>
    <tabColor rgb="FFFFFF00"/>
  </sheetPr>
  <dimension ref="B1:Y38"/>
  <sheetViews>
    <sheetView showGridLines="0" topLeftCell="F1" zoomScale="80" zoomScaleNormal="80" workbookViewId="0">
      <pane ySplit="1" topLeftCell="A2" activePane="bottomLeft" state="frozen"/>
      <selection activeCell="O36" sqref="O36"/>
      <selection pane="bottomLeft" activeCell="O36" sqref="O36"/>
    </sheetView>
  </sheetViews>
  <sheetFormatPr defaultColWidth="9.109375" defaultRowHeight="14.4"/>
  <cols>
    <col min="1" max="1" width="9.109375" style="4"/>
    <col min="2" max="2" width="40.5546875" style="4" bestFit="1" customWidth="1"/>
    <col min="3" max="3" width="14.6640625" style="4" bestFit="1" customWidth="1"/>
    <col min="4" max="4" width="10.5546875" style="4" bestFit="1" customWidth="1"/>
    <col min="5" max="5" width="10.5546875" style="4" customWidth="1"/>
    <col min="6" max="6" width="42" style="4" bestFit="1" customWidth="1"/>
    <col min="7" max="7" width="8.33203125" style="4" bestFit="1" customWidth="1"/>
    <col min="8" max="8" width="9.109375" style="4" customWidth="1"/>
    <col min="9" max="9" width="14.6640625" style="4" bestFit="1" customWidth="1"/>
    <col min="10" max="10" width="10.5546875" style="4" bestFit="1" customWidth="1"/>
    <col min="11" max="11" width="4" customWidth="1"/>
    <col min="12" max="12" width="14.6640625" style="4" bestFit="1" customWidth="1"/>
    <col min="13" max="13" width="10.5546875" style="4" bestFit="1" customWidth="1"/>
    <col min="14" max="14" width="1.77734375" style="4" customWidth="1"/>
    <col min="15" max="15" width="14.6640625" style="4" bestFit="1" customWidth="1"/>
    <col min="16" max="16" width="10.5546875" style="4" bestFit="1" customWidth="1"/>
    <col min="17" max="17" width="9.109375" style="4"/>
    <col min="18" max="18" width="11.6640625" bestFit="1" customWidth="1"/>
    <col min="19" max="19" width="14.6640625" customWidth="1"/>
    <col min="20" max="20" width="14.21875" customWidth="1"/>
    <col min="21" max="21" width="10.33203125" bestFit="1" customWidth="1"/>
    <col min="22" max="22" width="10" bestFit="1" customWidth="1"/>
    <col min="23" max="23" width="10.6640625" bestFit="1" customWidth="1"/>
    <col min="26" max="16384" width="9.109375" style="4"/>
  </cols>
  <sheetData>
    <row r="1" spans="2:16" ht="23.4">
      <c r="B1" s="3" t="s">
        <v>51</v>
      </c>
      <c r="C1" s="150" t="s">
        <v>212</v>
      </c>
      <c r="D1" s="150"/>
      <c r="E1" s="150"/>
      <c r="I1" s="150" t="s">
        <v>336</v>
      </c>
      <c r="J1" s="150"/>
      <c r="L1" s="150" t="s">
        <v>335</v>
      </c>
      <c r="M1" s="150"/>
      <c r="O1" s="150" t="s">
        <v>211</v>
      </c>
      <c r="P1" s="150"/>
    </row>
    <row r="2" spans="2:16" ht="18">
      <c r="B2" s="159" t="s">
        <v>52</v>
      </c>
      <c r="C2" s="159"/>
      <c r="D2" s="159"/>
      <c r="E2" s="159"/>
      <c r="F2" s="159"/>
      <c r="G2" s="9"/>
    </row>
    <row r="3" spans="2:16">
      <c r="B3" s="17" t="s">
        <v>1</v>
      </c>
      <c r="C3" s="17" t="s">
        <v>10</v>
      </c>
      <c r="D3" s="17" t="s">
        <v>11</v>
      </c>
      <c r="E3" s="5" t="s">
        <v>12</v>
      </c>
      <c r="F3" s="17" t="s">
        <v>13</v>
      </c>
      <c r="G3" s="17" t="s">
        <v>14</v>
      </c>
      <c r="I3" s="17" t="s">
        <v>10</v>
      </c>
      <c r="J3" s="17" t="s">
        <v>11</v>
      </c>
      <c r="L3" s="17" t="s">
        <v>10</v>
      </c>
      <c r="M3" s="17" t="s">
        <v>11</v>
      </c>
      <c r="O3" s="17" t="s">
        <v>10</v>
      </c>
      <c r="P3" s="17" t="s">
        <v>11</v>
      </c>
    </row>
    <row r="4" spans="2:16">
      <c r="B4" s="145" t="s">
        <v>15</v>
      </c>
      <c r="C4" s="146">
        <v>0.36609999999999998</v>
      </c>
      <c r="D4" s="147"/>
      <c r="E4" s="147"/>
      <c r="F4" s="148" t="s">
        <v>381</v>
      </c>
      <c r="G4" s="149" t="s">
        <v>17</v>
      </c>
      <c r="I4" s="13"/>
      <c r="J4" s="18"/>
      <c r="L4" s="13">
        <v>0.36609999999999998</v>
      </c>
      <c r="M4" s="18"/>
      <c r="O4" s="13">
        <v>0.34539999999999998</v>
      </c>
      <c r="P4" s="18"/>
    </row>
    <row r="5" spans="2:16">
      <c r="B5" s="145" t="s">
        <v>53</v>
      </c>
      <c r="C5" s="146">
        <v>0.63119999999999998</v>
      </c>
      <c r="D5" s="147"/>
      <c r="E5" s="147"/>
      <c r="F5" s="148" t="s">
        <v>381</v>
      </c>
      <c r="G5" s="149" t="s">
        <v>17</v>
      </c>
      <c r="I5" s="13"/>
      <c r="J5" s="18"/>
      <c r="L5" s="13">
        <v>0.63119999999999998</v>
      </c>
      <c r="M5" s="18"/>
      <c r="O5" s="13">
        <v>0.59550000000000003</v>
      </c>
      <c r="P5" s="18"/>
    </row>
    <row r="6" spans="2:16">
      <c r="B6" s="9"/>
      <c r="C6" s="18"/>
      <c r="D6" s="18"/>
      <c r="E6" s="18"/>
      <c r="F6" s="9"/>
      <c r="G6" s="8"/>
      <c r="I6" s="18"/>
      <c r="J6" s="18"/>
      <c r="L6" s="18"/>
      <c r="M6" s="18"/>
      <c r="O6" s="18"/>
      <c r="P6" s="18"/>
    </row>
    <row r="7" spans="2:16" ht="18">
      <c r="B7" s="159" t="s">
        <v>54</v>
      </c>
      <c r="C7" s="159"/>
      <c r="D7" s="159"/>
      <c r="E7" s="159"/>
      <c r="F7" s="159"/>
      <c r="G7" s="8"/>
    </row>
    <row r="8" spans="2:16">
      <c r="B8" s="17" t="s">
        <v>1</v>
      </c>
      <c r="C8" s="17" t="s">
        <v>10</v>
      </c>
      <c r="D8" s="17" t="s">
        <v>11</v>
      </c>
      <c r="E8" s="5" t="s">
        <v>12</v>
      </c>
      <c r="F8" s="17" t="s">
        <v>13</v>
      </c>
      <c r="G8" s="17"/>
      <c r="I8" s="17" t="s">
        <v>10</v>
      </c>
      <c r="J8" s="17" t="s">
        <v>11</v>
      </c>
      <c r="L8" s="17" t="s">
        <v>10</v>
      </c>
      <c r="M8" s="17" t="s">
        <v>11</v>
      </c>
      <c r="O8" s="17" t="s">
        <v>10</v>
      </c>
      <c r="P8" s="17" t="s">
        <v>11</v>
      </c>
    </row>
    <row r="9" spans="2:16">
      <c r="B9" s="19" t="s">
        <v>15</v>
      </c>
      <c r="C9" s="72">
        <v>0.06</v>
      </c>
      <c r="D9" s="72">
        <v>425</v>
      </c>
      <c r="E9" s="7" t="s">
        <v>16</v>
      </c>
      <c r="F9" s="9" t="s">
        <v>72</v>
      </c>
      <c r="G9" s="8" t="s">
        <v>17</v>
      </c>
      <c r="I9" s="72"/>
      <c r="J9" s="72"/>
      <c r="L9" s="72">
        <v>5.7000000000000002E-2</v>
      </c>
      <c r="M9" s="72">
        <v>405</v>
      </c>
      <c r="O9" s="13">
        <v>5.2999999999999999E-2</v>
      </c>
      <c r="P9" s="13">
        <v>375</v>
      </c>
    </row>
    <row r="10" spans="2:16">
      <c r="B10" s="160" t="s">
        <v>55</v>
      </c>
      <c r="C10" s="157">
        <v>1.2210000000000001</v>
      </c>
      <c r="D10" s="72">
        <v>4600</v>
      </c>
      <c r="E10" s="7" t="s">
        <v>16</v>
      </c>
      <c r="F10" s="9" t="s">
        <v>56</v>
      </c>
      <c r="G10" s="8" t="s">
        <v>17</v>
      </c>
      <c r="I10" s="157"/>
      <c r="J10" s="72"/>
      <c r="L10" s="157">
        <v>1.0900000000000001</v>
      </c>
      <c r="M10" s="72">
        <v>4300</v>
      </c>
      <c r="O10" s="158">
        <v>1.01</v>
      </c>
      <c r="P10" s="13">
        <v>3990</v>
      </c>
    </row>
    <row r="11" spans="2:16">
      <c r="B11" s="160"/>
      <c r="C11" s="157"/>
      <c r="D11" s="72">
        <v>9250</v>
      </c>
      <c r="E11" s="7" t="s">
        <v>16</v>
      </c>
      <c r="F11" s="9" t="s">
        <v>57</v>
      </c>
      <c r="G11" s="8" t="s">
        <v>17</v>
      </c>
      <c r="I11" s="157"/>
      <c r="J11" s="72"/>
      <c r="L11" s="157"/>
      <c r="M11" s="72">
        <v>8185</v>
      </c>
      <c r="O11" s="158"/>
      <c r="P11" s="13">
        <v>7610</v>
      </c>
    </row>
    <row r="12" spans="2:16">
      <c r="B12" s="160"/>
      <c r="C12" s="157"/>
      <c r="D12" s="72">
        <v>19600</v>
      </c>
      <c r="E12" s="7" t="s">
        <v>16</v>
      </c>
      <c r="F12" s="9" t="s">
        <v>58</v>
      </c>
      <c r="G12" s="8" t="s">
        <v>17</v>
      </c>
      <c r="I12" s="157"/>
      <c r="J12" s="72"/>
      <c r="L12" s="157"/>
      <c r="M12" s="72">
        <v>17570</v>
      </c>
      <c r="O12" s="158"/>
      <c r="P12" s="13">
        <v>16275</v>
      </c>
    </row>
    <row r="13" spans="2:16">
      <c r="B13" s="20" t="s">
        <v>59</v>
      </c>
      <c r="C13" s="71">
        <v>0.98499999999999999</v>
      </c>
      <c r="D13" s="72">
        <v>9040</v>
      </c>
      <c r="E13" s="7" t="s">
        <v>16</v>
      </c>
      <c r="F13" s="21" t="s">
        <v>60</v>
      </c>
      <c r="G13" s="8" t="s">
        <v>17</v>
      </c>
      <c r="I13" s="98"/>
      <c r="J13" s="72"/>
      <c r="L13" s="98">
        <v>0.90400000000000003</v>
      </c>
      <c r="M13" s="72">
        <v>8290</v>
      </c>
      <c r="O13" s="67">
        <v>0.84</v>
      </c>
      <c r="P13" s="13">
        <v>7610</v>
      </c>
    </row>
    <row r="14" spans="2:16">
      <c r="B14" s="160" t="s">
        <v>61</v>
      </c>
      <c r="C14" s="157">
        <v>1.2210000000000001</v>
      </c>
      <c r="D14" s="72">
        <v>4600</v>
      </c>
      <c r="E14" s="7" t="s">
        <v>16</v>
      </c>
      <c r="F14" s="9" t="s">
        <v>62</v>
      </c>
      <c r="G14" s="8" t="s">
        <v>17</v>
      </c>
      <c r="I14" s="157"/>
      <c r="J14" s="72"/>
      <c r="L14" s="157">
        <v>1.1000000000000001</v>
      </c>
      <c r="M14" s="72">
        <v>8290</v>
      </c>
      <c r="O14" s="158">
        <v>1.01</v>
      </c>
      <c r="P14" s="13">
        <v>7610</v>
      </c>
    </row>
    <row r="15" spans="2:16">
      <c r="B15" s="160"/>
      <c r="C15" s="157"/>
      <c r="D15" s="72">
        <v>9250</v>
      </c>
      <c r="E15" s="7" t="s">
        <v>16</v>
      </c>
      <c r="F15" s="9" t="s">
        <v>63</v>
      </c>
      <c r="G15" s="8" t="s">
        <v>17</v>
      </c>
      <c r="I15" s="157"/>
      <c r="J15" s="72"/>
      <c r="L15" s="157"/>
      <c r="M15" s="72">
        <v>17700</v>
      </c>
      <c r="O15" s="158"/>
      <c r="P15" s="13">
        <v>16275</v>
      </c>
    </row>
    <row r="16" spans="2:16">
      <c r="B16" s="160"/>
      <c r="C16" s="71">
        <v>1.2210000000000001</v>
      </c>
      <c r="D16" s="72">
        <v>19600</v>
      </c>
      <c r="E16" s="7" t="s">
        <v>16</v>
      </c>
      <c r="F16" s="9" t="s">
        <v>64</v>
      </c>
      <c r="G16" s="8" t="s">
        <v>17</v>
      </c>
      <c r="I16" s="98"/>
      <c r="J16" s="72"/>
      <c r="L16" s="98">
        <v>1.06</v>
      </c>
      <c r="M16" s="72">
        <v>29270</v>
      </c>
      <c r="O16" s="67">
        <v>1.07</v>
      </c>
      <c r="P16" s="13">
        <v>0</v>
      </c>
    </row>
    <row r="17" spans="2:16">
      <c r="B17" s="22" t="s">
        <v>361</v>
      </c>
      <c r="C17" s="7">
        <v>1.11E-2</v>
      </c>
      <c r="D17" s="7">
        <v>690</v>
      </c>
      <c r="E17" s="7" t="s">
        <v>16</v>
      </c>
      <c r="F17" s="9" t="s">
        <v>65</v>
      </c>
      <c r="G17" s="8" t="s">
        <v>17</v>
      </c>
      <c r="I17" s="7"/>
      <c r="J17" s="7"/>
      <c r="L17" s="7">
        <v>1.06E-2</v>
      </c>
      <c r="M17" s="7">
        <v>650</v>
      </c>
      <c r="O17" s="18">
        <f>0.068/8</f>
        <v>8.5000000000000006E-3</v>
      </c>
      <c r="P17" s="18">
        <v>438.6</v>
      </c>
    </row>
    <row r="18" spans="2:16">
      <c r="B18" s="161" t="s">
        <v>73</v>
      </c>
      <c r="C18" s="7">
        <v>7.4000000000000003E-3</v>
      </c>
      <c r="D18" s="7">
        <v>690</v>
      </c>
      <c r="E18" s="7" t="s">
        <v>16</v>
      </c>
      <c r="F18" s="9" t="s">
        <v>362</v>
      </c>
      <c r="G18" s="8" t="s">
        <v>17</v>
      </c>
      <c r="I18" s="7"/>
      <c r="J18" s="7"/>
      <c r="L18" s="7">
        <v>7.0000000000000001E-3</v>
      </c>
      <c r="M18" s="7">
        <v>650</v>
      </c>
      <c r="O18" s="18">
        <f>0.045/8</f>
        <v>5.6249999999999998E-3</v>
      </c>
      <c r="P18" s="18">
        <v>438.6</v>
      </c>
    </row>
    <row r="19" spans="2:16">
      <c r="B19" s="162"/>
      <c r="C19" s="7">
        <v>1.1599999999999999E-2</v>
      </c>
      <c r="D19" s="7">
        <v>690</v>
      </c>
      <c r="E19" s="7" t="s">
        <v>16</v>
      </c>
      <c r="F19" s="9" t="s">
        <v>363</v>
      </c>
      <c r="G19" s="8"/>
      <c r="I19" s="7"/>
      <c r="J19" s="7"/>
      <c r="L19" s="7">
        <v>1.0999999999999999E-2</v>
      </c>
      <c r="M19" s="7">
        <v>650</v>
      </c>
      <c r="O19" s="18"/>
      <c r="P19" s="18"/>
    </row>
    <row r="20" spans="2:16">
      <c r="B20" s="163"/>
      <c r="C20" s="7">
        <v>1.3899999999999999E-2</v>
      </c>
      <c r="D20" s="7">
        <v>690</v>
      </c>
      <c r="E20" s="7" t="s">
        <v>16</v>
      </c>
      <c r="F20" s="9" t="s">
        <v>364</v>
      </c>
      <c r="G20" s="8"/>
      <c r="I20" s="7"/>
      <c r="J20" s="7"/>
      <c r="L20" s="7">
        <v>1.32E-2</v>
      </c>
      <c r="M20" s="7">
        <v>650</v>
      </c>
      <c r="O20" s="18"/>
      <c r="P20" s="18"/>
    </row>
    <row r="21" spans="2:16">
      <c r="B21" s="36" t="s">
        <v>4</v>
      </c>
      <c r="C21" s="7">
        <v>3.6499999999999998E-2</v>
      </c>
      <c r="D21" s="7">
        <v>210</v>
      </c>
      <c r="E21" s="7" t="s">
        <v>16</v>
      </c>
      <c r="F21" s="9"/>
      <c r="G21" s="8"/>
      <c r="I21" s="7"/>
      <c r="J21" s="7"/>
      <c r="L21" s="7">
        <v>3.4720000000000001E-2</v>
      </c>
      <c r="M21" s="7">
        <v>200</v>
      </c>
      <c r="O21" s="18">
        <v>3.4720000000000001E-2</v>
      </c>
      <c r="P21" s="18">
        <v>200</v>
      </c>
    </row>
    <row r="22" spans="2:16">
      <c r="B22" s="154" t="s">
        <v>50</v>
      </c>
      <c r="C22" s="13">
        <v>400</v>
      </c>
      <c r="D22" s="13"/>
      <c r="E22" s="14" t="s">
        <v>16</v>
      </c>
      <c r="F22" s="15" t="s">
        <v>85</v>
      </c>
      <c r="G22" s="8"/>
      <c r="I22" s="13"/>
      <c r="J22" s="13"/>
      <c r="L22" s="13">
        <v>125</v>
      </c>
      <c r="M22" s="13">
        <v>0</v>
      </c>
      <c r="O22" s="13">
        <v>100</v>
      </c>
      <c r="P22" s="13">
        <v>0</v>
      </c>
    </row>
    <row r="23" spans="2:16">
      <c r="B23" s="156"/>
      <c r="C23" s="13">
        <v>600</v>
      </c>
      <c r="D23" s="13"/>
      <c r="E23" s="14" t="s">
        <v>16</v>
      </c>
      <c r="F23" s="15" t="s">
        <v>86</v>
      </c>
      <c r="G23" s="8"/>
      <c r="I23" s="13"/>
      <c r="J23" s="13"/>
      <c r="L23" s="13">
        <v>190</v>
      </c>
      <c r="M23" s="13">
        <v>0</v>
      </c>
      <c r="O23" s="13">
        <v>150</v>
      </c>
      <c r="P23" s="13">
        <v>0</v>
      </c>
    </row>
    <row r="24" spans="2:16">
      <c r="B24" s="155"/>
      <c r="C24" s="13">
        <v>800</v>
      </c>
      <c r="D24" s="13"/>
      <c r="E24" s="14" t="s">
        <v>16</v>
      </c>
      <c r="F24" s="15" t="s">
        <v>87</v>
      </c>
      <c r="G24" s="8"/>
      <c r="I24" s="13"/>
      <c r="J24" s="13"/>
      <c r="L24" s="13">
        <v>250</v>
      </c>
      <c r="M24" s="13">
        <v>0</v>
      </c>
      <c r="O24" s="13">
        <v>200</v>
      </c>
      <c r="P24" s="13">
        <v>0</v>
      </c>
    </row>
    <row r="25" spans="2:16">
      <c r="B25" s="37" t="s">
        <v>141</v>
      </c>
      <c r="C25" s="13">
        <v>0</v>
      </c>
      <c r="D25" s="13">
        <v>0</v>
      </c>
      <c r="E25" s="14" t="s">
        <v>16</v>
      </c>
      <c r="F25" s="15"/>
      <c r="G25" s="8"/>
      <c r="I25" s="13"/>
      <c r="J25" s="13"/>
      <c r="L25" s="13">
        <v>9.7337999999999994E-2</v>
      </c>
      <c r="M25" s="13"/>
      <c r="O25" s="13">
        <v>9.7337999999999994E-2</v>
      </c>
      <c r="P25" s="13"/>
    </row>
    <row r="26" spans="2:16">
      <c r="B26" s="23" t="s">
        <v>25</v>
      </c>
      <c r="C26" s="18">
        <v>9.8999999999999999E-4</v>
      </c>
      <c r="D26" s="18">
        <v>0</v>
      </c>
      <c r="E26" s="7" t="s">
        <v>16</v>
      </c>
      <c r="F26" s="11" t="s">
        <v>66</v>
      </c>
      <c r="G26" s="8" t="s">
        <v>17</v>
      </c>
      <c r="I26" s="7"/>
      <c r="J26" s="7"/>
      <c r="L26" s="7">
        <v>9.3999999999999997E-4</v>
      </c>
      <c r="M26" s="7">
        <v>0</v>
      </c>
      <c r="O26" s="18">
        <v>9.3999999999999997E-4</v>
      </c>
      <c r="P26" s="18">
        <v>0</v>
      </c>
    </row>
    <row r="27" spans="2:16" ht="27.6">
      <c r="B27" s="23" t="s">
        <v>26</v>
      </c>
      <c r="C27" s="18">
        <v>1755</v>
      </c>
      <c r="D27" s="18">
        <v>440</v>
      </c>
      <c r="E27" s="7" t="s">
        <v>16</v>
      </c>
      <c r="F27" s="11" t="s">
        <v>27</v>
      </c>
      <c r="G27" s="8" t="s">
        <v>17</v>
      </c>
      <c r="I27" s="7"/>
      <c r="J27" s="7"/>
      <c r="L27" s="7">
        <v>1755</v>
      </c>
      <c r="M27" s="7">
        <v>440</v>
      </c>
      <c r="O27" s="18">
        <v>1755</v>
      </c>
      <c r="P27" s="18">
        <v>440</v>
      </c>
    </row>
    <row r="28" spans="2:16">
      <c r="B28" s="23" t="s">
        <v>28</v>
      </c>
      <c r="C28" s="18">
        <v>800</v>
      </c>
      <c r="D28" s="18">
        <v>0</v>
      </c>
      <c r="E28" s="7" t="s">
        <v>16</v>
      </c>
      <c r="F28" s="11" t="s">
        <v>67</v>
      </c>
      <c r="G28" s="8" t="s">
        <v>17</v>
      </c>
      <c r="I28" s="7"/>
      <c r="J28" s="7"/>
      <c r="L28" s="7">
        <v>800</v>
      </c>
      <c r="M28" s="7">
        <v>0</v>
      </c>
      <c r="O28" s="18">
        <v>800</v>
      </c>
      <c r="P28" s="18">
        <v>0</v>
      </c>
    </row>
    <row r="29" spans="2:16">
      <c r="B29" s="19" t="s">
        <v>30</v>
      </c>
      <c r="C29" s="18">
        <v>100</v>
      </c>
      <c r="D29" s="18">
        <v>0</v>
      </c>
      <c r="E29" s="7" t="s">
        <v>16</v>
      </c>
      <c r="F29" s="9" t="s">
        <v>68</v>
      </c>
      <c r="G29" s="8" t="s">
        <v>17</v>
      </c>
      <c r="I29" s="7"/>
      <c r="J29" s="7"/>
      <c r="L29" s="7">
        <v>100</v>
      </c>
      <c r="M29" s="7">
        <v>0</v>
      </c>
      <c r="O29" s="18">
        <v>100</v>
      </c>
      <c r="P29" s="18">
        <v>0</v>
      </c>
    </row>
    <row r="30" spans="2:16">
      <c r="B30" s="19" t="s">
        <v>32</v>
      </c>
      <c r="C30" s="18">
        <v>5</v>
      </c>
      <c r="D30" s="18">
        <v>0</v>
      </c>
      <c r="E30" s="7" t="s">
        <v>16</v>
      </c>
      <c r="F30" s="9" t="s">
        <v>33</v>
      </c>
      <c r="G30" s="8" t="s">
        <v>17</v>
      </c>
      <c r="I30" s="7"/>
      <c r="J30" s="7"/>
      <c r="L30" s="7">
        <v>5</v>
      </c>
      <c r="M30" s="7">
        <v>0</v>
      </c>
      <c r="O30" s="18">
        <v>5</v>
      </c>
      <c r="P30" s="18">
        <v>0</v>
      </c>
    </row>
    <row r="31" spans="2:16">
      <c r="B31" s="19" t="s">
        <v>34</v>
      </c>
      <c r="C31" s="18" t="s">
        <v>35</v>
      </c>
      <c r="D31" s="18">
        <v>0</v>
      </c>
      <c r="E31" s="7" t="s">
        <v>36</v>
      </c>
      <c r="F31" s="9"/>
      <c r="G31" s="8" t="s">
        <v>17</v>
      </c>
      <c r="I31" s="7"/>
      <c r="J31" s="7"/>
      <c r="L31" s="7" t="s">
        <v>35</v>
      </c>
      <c r="M31" s="7">
        <v>0</v>
      </c>
      <c r="O31" s="18" t="s">
        <v>35</v>
      </c>
      <c r="P31" s="18">
        <v>0</v>
      </c>
    </row>
    <row r="32" spans="2:16">
      <c r="B32" s="19" t="s">
        <v>38</v>
      </c>
      <c r="C32" s="18" t="s">
        <v>35</v>
      </c>
      <c r="D32" s="18">
        <v>0</v>
      </c>
      <c r="E32" s="7" t="s">
        <v>36</v>
      </c>
      <c r="F32" s="9"/>
      <c r="G32" s="8" t="s">
        <v>17</v>
      </c>
      <c r="I32" s="7"/>
      <c r="J32" s="7"/>
      <c r="L32" s="7" t="s">
        <v>35</v>
      </c>
      <c r="M32" s="7">
        <v>0</v>
      </c>
      <c r="O32" s="18" t="s">
        <v>35</v>
      </c>
      <c r="P32" s="18">
        <v>0</v>
      </c>
    </row>
    <row r="33" spans="2:16">
      <c r="B33" s="19" t="s">
        <v>39</v>
      </c>
      <c r="C33" s="18">
        <v>15000</v>
      </c>
      <c r="D33" s="18">
        <v>0</v>
      </c>
      <c r="E33" s="24" t="s">
        <v>40</v>
      </c>
      <c r="F33" s="25" t="s">
        <v>69</v>
      </c>
      <c r="G33" s="8" t="s">
        <v>17</v>
      </c>
      <c r="I33" s="7"/>
      <c r="J33" s="7"/>
      <c r="L33" s="7">
        <v>15000</v>
      </c>
      <c r="M33" s="7">
        <v>0</v>
      </c>
      <c r="O33" s="18">
        <v>15000</v>
      </c>
      <c r="P33" s="18">
        <v>0</v>
      </c>
    </row>
    <row r="34" spans="2:16">
      <c r="B34" s="19" t="s">
        <v>42</v>
      </c>
      <c r="C34" s="18">
        <v>150</v>
      </c>
      <c r="D34" s="18">
        <v>0</v>
      </c>
      <c r="E34" s="7" t="s">
        <v>16</v>
      </c>
      <c r="F34" s="9" t="s">
        <v>70</v>
      </c>
      <c r="G34" s="8" t="s">
        <v>17</v>
      </c>
      <c r="I34" s="7"/>
      <c r="J34" s="7"/>
      <c r="L34" s="7">
        <v>150</v>
      </c>
      <c r="M34" s="7">
        <v>0</v>
      </c>
      <c r="O34" s="18">
        <v>150</v>
      </c>
      <c r="P34" s="18">
        <v>0</v>
      </c>
    </row>
    <row r="35" spans="2:16">
      <c r="B35" s="19" t="s">
        <v>44</v>
      </c>
      <c r="C35" s="18">
        <v>50</v>
      </c>
      <c r="D35" s="18">
        <v>0</v>
      </c>
      <c r="E35" s="7" t="s">
        <v>16</v>
      </c>
      <c r="F35" s="9" t="s">
        <v>45</v>
      </c>
      <c r="G35" s="8" t="s">
        <v>17</v>
      </c>
      <c r="I35" s="7"/>
      <c r="J35" s="7"/>
      <c r="L35" s="7">
        <v>50</v>
      </c>
      <c r="M35" s="7">
        <v>0</v>
      </c>
      <c r="O35" s="18">
        <v>50</v>
      </c>
      <c r="P35" s="18">
        <v>0</v>
      </c>
    </row>
    <row r="36" spans="2:16">
      <c r="B36" s="19" t="s">
        <v>46</v>
      </c>
      <c r="C36" s="18">
        <v>150</v>
      </c>
      <c r="D36" s="18">
        <v>0</v>
      </c>
      <c r="E36" s="7" t="s">
        <v>16</v>
      </c>
      <c r="F36" s="9" t="s">
        <v>45</v>
      </c>
      <c r="G36" s="8" t="s">
        <v>17</v>
      </c>
      <c r="I36" s="7"/>
      <c r="J36" s="7"/>
      <c r="L36" s="7">
        <v>150</v>
      </c>
      <c r="M36" s="7">
        <v>0</v>
      </c>
      <c r="O36" s="18">
        <v>150</v>
      </c>
      <c r="P36" s="18">
        <v>0</v>
      </c>
    </row>
    <row r="37" spans="2:16">
      <c r="B37" s="19" t="s">
        <v>47</v>
      </c>
      <c r="C37" s="18">
        <v>2.5</v>
      </c>
      <c r="D37" s="18">
        <v>0</v>
      </c>
      <c r="E37" s="24" t="s">
        <v>40</v>
      </c>
      <c r="F37" s="9" t="s">
        <v>71</v>
      </c>
      <c r="G37" s="8" t="s">
        <v>17</v>
      </c>
      <c r="I37" s="7"/>
      <c r="J37" s="7"/>
      <c r="L37" s="7">
        <v>2.5</v>
      </c>
      <c r="M37" s="7">
        <v>0</v>
      </c>
      <c r="O37" s="18">
        <v>2.5</v>
      </c>
      <c r="P37" s="18">
        <v>0</v>
      </c>
    </row>
    <row r="38" spans="2:16">
      <c r="B38" s="26"/>
    </row>
  </sheetData>
  <mergeCells count="18">
    <mergeCell ref="B22:B24"/>
    <mergeCell ref="B2:F2"/>
    <mergeCell ref="B7:F7"/>
    <mergeCell ref="B10:B12"/>
    <mergeCell ref="C10:C12"/>
    <mergeCell ref="B14:B16"/>
    <mergeCell ref="C14:C15"/>
    <mergeCell ref="B18:B20"/>
    <mergeCell ref="I10:I12"/>
    <mergeCell ref="I14:I15"/>
    <mergeCell ref="C1:E1"/>
    <mergeCell ref="O10:O12"/>
    <mergeCell ref="O14:O15"/>
    <mergeCell ref="O1:P1"/>
    <mergeCell ref="L1:M1"/>
    <mergeCell ref="L10:L12"/>
    <mergeCell ref="L14:L15"/>
    <mergeCell ref="I1:J1"/>
  </mergeCells>
  <conditionalFormatting sqref="G4:G7 G9:G21 G26">
    <cfRule type="containsText" dxfId="110" priority="7" operator="containsText" text="Verified">
      <formula>NOT(ISERROR(SEARCH("Verified",G4)))</formula>
    </cfRule>
    <cfRule type="containsText" dxfId="109" priority="8" operator="containsText" text="Verified">
      <formula>NOT(ISERROR(SEARCH("Verified",G4)))</formula>
    </cfRule>
    <cfRule type="containsText" dxfId="108" priority="9" operator="containsText" text="Verified">
      <formula>NOT(ISERROR(SEARCH("Verified",G4)))</formula>
    </cfRule>
  </conditionalFormatting>
  <conditionalFormatting sqref="G27:G37">
    <cfRule type="containsText" dxfId="107" priority="4" operator="containsText" text="Verified">
      <formula>NOT(ISERROR(SEARCH("Verified",G27)))</formula>
    </cfRule>
    <cfRule type="containsText" dxfId="106" priority="5" operator="containsText" text="Verified">
      <formula>NOT(ISERROR(SEARCH("Verified",G27)))</formula>
    </cfRule>
    <cfRule type="containsText" dxfId="105" priority="6" operator="containsText" text="Verified">
      <formula>NOT(ISERROR(SEARCH("Verified",G27)))</formula>
    </cfRule>
  </conditionalFormatting>
  <conditionalFormatting sqref="G22:G25">
    <cfRule type="containsText" dxfId="104" priority="1" operator="containsText" text="Verified">
      <formula>NOT(ISERROR(SEARCH("Verified",G22)))</formula>
    </cfRule>
    <cfRule type="containsText" dxfId="103" priority="2" operator="containsText" text="Verified">
      <formula>NOT(ISERROR(SEARCH("Verified",G22)))</formula>
    </cfRule>
    <cfRule type="containsText" dxfId="102" priority="3" operator="containsText" text="Verified">
      <formula>NOT(ISERROR(SEARCH("Verified",G22)))</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EBAE0-9167-4F55-A5E8-97C71935D3FE}">
  <sheetPr>
    <tabColor rgb="FFFFFF00"/>
  </sheetPr>
  <dimension ref="B1:J24"/>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3.8"/>
  <cols>
    <col min="1" max="1" width="9.109375" style="4"/>
    <col min="2" max="2" width="40.5546875" style="4" bestFit="1" customWidth="1"/>
    <col min="3" max="3" width="14.6640625" style="4" bestFit="1" customWidth="1"/>
    <col min="4" max="4" width="10.5546875" style="4" bestFit="1" customWidth="1"/>
    <col min="5" max="5" width="10.5546875" style="4" customWidth="1"/>
    <col min="6" max="6" width="41.5546875" style="4" bestFit="1" customWidth="1"/>
    <col min="7" max="7" width="11.44140625" style="4" customWidth="1"/>
    <col min="8" max="8" width="9.109375" style="4"/>
    <col min="9" max="9" width="14.6640625" style="4" bestFit="1" customWidth="1"/>
    <col min="10" max="10" width="10.5546875" style="4" bestFit="1" customWidth="1"/>
    <col min="11" max="16384" width="9.109375" style="4"/>
  </cols>
  <sheetData>
    <row r="1" spans="2:10" ht="23.4">
      <c r="B1" s="3" t="s">
        <v>77</v>
      </c>
      <c r="C1" s="150" t="s">
        <v>334</v>
      </c>
      <c r="D1" s="150"/>
      <c r="I1" s="150" t="s">
        <v>211</v>
      </c>
      <c r="J1" s="150"/>
    </row>
    <row r="2" spans="2:10">
      <c r="B2" s="17" t="s">
        <v>1</v>
      </c>
      <c r="C2" s="17" t="s">
        <v>10</v>
      </c>
      <c r="D2" s="17" t="s">
        <v>11</v>
      </c>
      <c r="E2" s="17" t="s">
        <v>12</v>
      </c>
      <c r="F2" s="17" t="s">
        <v>13</v>
      </c>
      <c r="G2" s="17" t="s">
        <v>14</v>
      </c>
      <c r="I2" s="17" t="s">
        <v>10</v>
      </c>
      <c r="J2" s="17" t="s">
        <v>11</v>
      </c>
    </row>
    <row r="3" spans="2:10">
      <c r="B3" s="19" t="s">
        <v>15</v>
      </c>
      <c r="C3" s="13">
        <v>0.33300000000000002</v>
      </c>
      <c r="D3" s="13">
        <v>1200</v>
      </c>
      <c r="E3" s="13" t="s">
        <v>16</v>
      </c>
      <c r="F3" s="9" t="s">
        <v>72</v>
      </c>
      <c r="G3" s="8" t="s">
        <v>17</v>
      </c>
      <c r="I3" s="13">
        <v>0.26800000000000002</v>
      </c>
      <c r="J3" s="13">
        <v>1200</v>
      </c>
    </row>
    <row r="4" spans="2:10">
      <c r="B4" s="160" t="s">
        <v>3</v>
      </c>
      <c r="C4" s="97">
        <v>1.7177</v>
      </c>
      <c r="D4" s="13">
        <v>1000</v>
      </c>
      <c r="E4" s="13" t="s">
        <v>16</v>
      </c>
      <c r="F4" s="9" t="s">
        <v>83</v>
      </c>
      <c r="G4" s="8" t="s">
        <v>17</v>
      </c>
      <c r="I4" s="59">
        <v>1.5580000000000001</v>
      </c>
      <c r="J4" s="13">
        <v>925</v>
      </c>
    </row>
    <row r="5" spans="2:10">
      <c r="B5" s="160"/>
      <c r="C5" s="97">
        <v>1.0170699999999999</v>
      </c>
      <c r="D5" s="13">
        <v>1000</v>
      </c>
      <c r="E5" s="13" t="s">
        <v>16</v>
      </c>
      <c r="F5" s="11" t="s">
        <v>360</v>
      </c>
      <c r="G5" s="8" t="s">
        <v>17</v>
      </c>
      <c r="I5" s="59">
        <v>0.92249999999999999</v>
      </c>
      <c r="J5" s="13">
        <v>615</v>
      </c>
    </row>
    <row r="6" spans="2:10">
      <c r="B6" s="161" t="s">
        <v>7</v>
      </c>
      <c r="C6" s="27">
        <v>2.1340000000000001E-2</v>
      </c>
      <c r="D6" s="13">
        <v>1000</v>
      </c>
      <c r="E6" s="13" t="s">
        <v>16</v>
      </c>
      <c r="F6" s="9" t="s">
        <v>83</v>
      </c>
      <c r="G6" s="8" t="s">
        <v>17</v>
      </c>
      <c r="I6" s="13">
        <v>1.9349999999999999E-2</v>
      </c>
      <c r="J6" s="13">
        <v>820</v>
      </c>
    </row>
    <row r="7" spans="2:10">
      <c r="B7" s="163"/>
      <c r="C7" s="27">
        <v>9.7000000000000003E-3</v>
      </c>
      <c r="D7" s="13">
        <v>1000</v>
      </c>
      <c r="E7" s="13" t="s">
        <v>16</v>
      </c>
      <c r="F7" s="11" t="s">
        <v>360</v>
      </c>
      <c r="G7" s="8" t="s">
        <v>17</v>
      </c>
      <c r="I7" s="13">
        <v>8.7899999999999992E-3</v>
      </c>
      <c r="J7" s="13">
        <v>820</v>
      </c>
    </row>
    <row r="8" spans="2:10">
      <c r="B8" s="23" t="s">
        <v>4</v>
      </c>
      <c r="C8" s="27">
        <v>3.4720000000000001E-2</v>
      </c>
      <c r="D8" s="13">
        <v>200</v>
      </c>
      <c r="E8" s="13" t="s">
        <v>16</v>
      </c>
      <c r="F8" s="11"/>
      <c r="G8" s="8"/>
      <c r="I8" s="13">
        <v>3.4720000000000001E-2</v>
      </c>
      <c r="J8" s="13">
        <v>200</v>
      </c>
    </row>
    <row r="9" spans="2:10">
      <c r="B9" s="154" t="s">
        <v>50</v>
      </c>
      <c r="C9" s="13">
        <v>1.2500000000000001E-2</v>
      </c>
      <c r="D9" s="13">
        <v>100</v>
      </c>
      <c r="E9" s="14" t="s">
        <v>16</v>
      </c>
      <c r="F9" s="15" t="s">
        <v>85</v>
      </c>
      <c r="G9" s="8"/>
      <c r="I9" s="13">
        <v>100</v>
      </c>
      <c r="J9" s="13">
        <v>0</v>
      </c>
    </row>
    <row r="10" spans="2:10">
      <c r="B10" s="156"/>
      <c r="C10" s="13">
        <v>1.2500000000000001E-2</v>
      </c>
      <c r="D10" s="13">
        <v>100</v>
      </c>
      <c r="E10" s="14" t="s">
        <v>16</v>
      </c>
      <c r="F10" s="15" t="s">
        <v>86</v>
      </c>
      <c r="G10" s="8"/>
      <c r="I10" s="13">
        <v>150</v>
      </c>
      <c r="J10" s="13">
        <v>0</v>
      </c>
    </row>
    <row r="11" spans="2:10">
      <c r="B11" s="155"/>
      <c r="C11" s="13">
        <v>1.2500000000000001E-2</v>
      </c>
      <c r="D11" s="13">
        <v>100</v>
      </c>
      <c r="E11" s="14" t="s">
        <v>16</v>
      </c>
      <c r="F11" s="15" t="s">
        <v>87</v>
      </c>
      <c r="G11" s="8"/>
      <c r="I11" s="13">
        <v>200</v>
      </c>
      <c r="J11" s="13">
        <v>0</v>
      </c>
    </row>
    <row r="12" spans="2:10">
      <c r="B12" s="23" t="s">
        <v>25</v>
      </c>
      <c r="C12" s="18"/>
      <c r="D12" s="7"/>
      <c r="E12" s="7" t="s">
        <v>16</v>
      </c>
      <c r="F12" s="11" t="s">
        <v>66</v>
      </c>
      <c r="G12" s="8" t="s">
        <v>17</v>
      </c>
      <c r="I12" s="7">
        <v>1.25E-3</v>
      </c>
      <c r="J12" s="7">
        <v>0</v>
      </c>
    </row>
    <row r="13" spans="2:10">
      <c r="B13" s="23" t="s">
        <v>26</v>
      </c>
      <c r="C13" s="18"/>
      <c r="D13" s="7"/>
      <c r="E13" s="7" t="s">
        <v>16</v>
      </c>
      <c r="F13" s="11" t="s">
        <v>67</v>
      </c>
      <c r="G13" s="8" t="s">
        <v>17</v>
      </c>
      <c r="I13" s="7">
        <v>600</v>
      </c>
      <c r="J13" s="7">
        <v>0</v>
      </c>
    </row>
    <row r="14" spans="2:10">
      <c r="B14" s="23" t="s">
        <v>28</v>
      </c>
      <c r="C14" s="18"/>
      <c r="D14" s="7"/>
      <c r="E14" s="7" t="s">
        <v>16</v>
      </c>
      <c r="F14" s="11" t="s">
        <v>67</v>
      </c>
      <c r="G14" s="8" t="s">
        <v>17</v>
      </c>
      <c r="I14" s="7">
        <v>800</v>
      </c>
      <c r="J14" s="7"/>
    </row>
    <row r="15" spans="2:10">
      <c r="B15" s="19" t="s">
        <v>30</v>
      </c>
      <c r="C15" s="18"/>
      <c r="D15" s="7"/>
      <c r="E15" s="7" t="s">
        <v>16</v>
      </c>
      <c r="F15" s="9" t="s">
        <v>78</v>
      </c>
      <c r="G15" s="8" t="s">
        <v>17</v>
      </c>
      <c r="I15" s="7">
        <v>100</v>
      </c>
      <c r="J15" s="7"/>
    </row>
    <row r="16" spans="2:10">
      <c r="B16" s="19" t="s">
        <v>32</v>
      </c>
      <c r="C16" s="18"/>
      <c r="D16" s="7"/>
      <c r="E16" s="7" t="s">
        <v>16</v>
      </c>
      <c r="F16" s="9" t="s">
        <v>33</v>
      </c>
      <c r="G16" s="8" t="s">
        <v>17</v>
      </c>
      <c r="I16" s="7">
        <v>5</v>
      </c>
      <c r="J16" s="7"/>
    </row>
    <row r="17" spans="2:10" ht="41.4">
      <c r="B17" s="19" t="s">
        <v>34</v>
      </c>
      <c r="C17" s="18"/>
      <c r="D17" s="7"/>
      <c r="E17" s="7" t="s">
        <v>16</v>
      </c>
      <c r="F17" s="11" t="s">
        <v>79</v>
      </c>
      <c r="G17" s="8" t="s">
        <v>17</v>
      </c>
      <c r="I17" s="7">
        <v>2000</v>
      </c>
      <c r="J17" s="7"/>
    </row>
    <row r="18" spans="2:10">
      <c r="B18" s="19" t="s">
        <v>38</v>
      </c>
      <c r="C18" s="18"/>
      <c r="D18" s="7"/>
      <c r="E18" s="7" t="s">
        <v>16</v>
      </c>
      <c r="F18" s="9" t="s">
        <v>80</v>
      </c>
      <c r="G18" s="8" t="s">
        <v>17</v>
      </c>
      <c r="I18" s="7">
        <v>90</v>
      </c>
      <c r="J18" s="7"/>
    </row>
    <row r="19" spans="2:10" ht="27.6">
      <c r="B19" s="19" t="s">
        <v>39</v>
      </c>
      <c r="C19" s="18"/>
      <c r="D19" s="7"/>
      <c r="E19" s="7" t="s">
        <v>16</v>
      </c>
      <c r="F19" s="11" t="s">
        <v>81</v>
      </c>
      <c r="G19" s="8" t="s">
        <v>17</v>
      </c>
      <c r="I19" s="7">
        <v>620</v>
      </c>
      <c r="J19" s="7"/>
    </row>
    <row r="20" spans="2:10">
      <c r="B20" s="19" t="s">
        <v>42</v>
      </c>
      <c r="C20" s="18"/>
      <c r="D20" s="7"/>
      <c r="E20" s="7" t="s">
        <v>16</v>
      </c>
      <c r="F20" s="9" t="s">
        <v>82</v>
      </c>
      <c r="G20" s="8" t="s">
        <v>17</v>
      </c>
      <c r="I20" s="7">
        <v>150</v>
      </c>
      <c r="J20" s="7"/>
    </row>
    <row r="21" spans="2:10">
      <c r="B21" s="19" t="s">
        <v>44</v>
      </c>
      <c r="C21" s="18"/>
      <c r="D21" s="7"/>
      <c r="E21" s="7" t="s">
        <v>16</v>
      </c>
      <c r="F21" s="9" t="s">
        <v>45</v>
      </c>
      <c r="G21" s="8" t="s">
        <v>17</v>
      </c>
      <c r="I21" s="7">
        <v>20</v>
      </c>
      <c r="J21" s="7"/>
    </row>
    <row r="22" spans="2:10">
      <c r="B22" s="19" t="s">
        <v>46</v>
      </c>
      <c r="C22" s="18"/>
      <c r="D22" s="7"/>
      <c r="E22" s="7" t="s">
        <v>16</v>
      </c>
      <c r="F22" s="9" t="s">
        <v>45</v>
      </c>
      <c r="G22" s="8" t="s">
        <v>17</v>
      </c>
      <c r="I22" s="7">
        <v>150</v>
      </c>
      <c r="J22" s="7"/>
    </row>
    <row r="23" spans="2:10">
      <c r="B23" s="19" t="s">
        <v>47</v>
      </c>
      <c r="C23" s="18"/>
      <c r="D23" s="7"/>
      <c r="E23" s="7" t="s">
        <v>36</v>
      </c>
      <c r="F23" s="9"/>
      <c r="G23" s="8" t="s">
        <v>17</v>
      </c>
      <c r="I23" s="7">
        <v>0</v>
      </c>
      <c r="J23" s="7"/>
    </row>
    <row r="24" spans="2:10">
      <c r="B24" s="26" t="s">
        <v>328</v>
      </c>
    </row>
  </sheetData>
  <mergeCells count="5">
    <mergeCell ref="B4:B5"/>
    <mergeCell ref="B6:B7"/>
    <mergeCell ref="B9:B11"/>
    <mergeCell ref="I1:J1"/>
    <mergeCell ref="C1:D1"/>
  </mergeCells>
  <conditionalFormatting sqref="G3 G12:G23">
    <cfRule type="containsText" dxfId="101" priority="7" operator="containsText" text="Verified">
      <formula>NOT(ISERROR(SEARCH("Verified",G3)))</formula>
    </cfRule>
    <cfRule type="containsText" dxfId="100" priority="8" operator="containsText" text="Verified">
      <formula>NOT(ISERROR(SEARCH("Verified",G3)))</formula>
    </cfRule>
    <cfRule type="containsText" dxfId="99" priority="9" operator="containsText" text="Verified">
      <formula>NOT(ISERROR(SEARCH("Verified",G3)))</formula>
    </cfRule>
  </conditionalFormatting>
  <conditionalFormatting sqref="G4:G8">
    <cfRule type="containsText" dxfId="98" priority="4" operator="containsText" text="Verified">
      <formula>NOT(ISERROR(SEARCH("Verified",G4)))</formula>
    </cfRule>
    <cfRule type="containsText" dxfId="97" priority="5" operator="containsText" text="Verified">
      <formula>NOT(ISERROR(SEARCH("Verified",G4)))</formula>
    </cfRule>
    <cfRule type="containsText" dxfId="96" priority="6" operator="containsText" text="Verified">
      <formula>NOT(ISERROR(SEARCH("Verified",G4)))</formula>
    </cfRule>
  </conditionalFormatting>
  <conditionalFormatting sqref="G9:G11">
    <cfRule type="containsText" dxfId="95" priority="1" operator="containsText" text="Verified">
      <formula>NOT(ISERROR(SEARCH("Verified",G9)))</formula>
    </cfRule>
    <cfRule type="containsText" dxfId="94" priority="2" operator="containsText" text="Verified">
      <formula>NOT(ISERROR(SEARCH("Verified",G9)))</formula>
    </cfRule>
    <cfRule type="containsText" dxfId="93" priority="3" operator="containsText" text="Verified">
      <formula>NOT(ISERROR(SEARCH("Verified",G9)))</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E7FF-5D4F-4AA5-A6EF-2F381FCCF6D2}">
  <sheetPr>
    <tabColor rgb="FFFFFF00"/>
  </sheetPr>
  <dimension ref="B1:N27"/>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3.8"/>
  <cols>
    <col min="1" max="1" width="9.109375" style="4"/>
    <col min="2" max="2" width="40.5546875" style="4" bestFit="1" customWidth="1"/>
    <col min="3" max="3" width="14.6640625" style="4" bestFit="1" customWidth="1"/>
    <col min="4" max="4" width="10.5546875" style="4" bestFit="1" customWidth="1"/>
    <col min="5" max="5" width="10.5546875" style="4" customWidth="1"/>
    <col min="6" max="6" width="45.5546875" style="4" bestFit="1" customWidth="1"/>
    <col min="7" max="7" width="4.88671875" style="4" bestFit="1" customWidth="1"/>
    <col min="8" max="8" width="8.33203125" style="4" bestFit="1" customWidth="1"/>
    <col min="9" max="9" width="9.109375" style="4"/>
    <col min="10" max="10" width="14.6640625" style="4" bestFit="1" customWidth="1"/>
    <col min="11" max="11" width="10.5546875" style="4" bestFit="1" customWidth="1"/>
    <col min="12" max="12" width="9.109375" style="4"/>
    <col min="13" max="13" width="14.6640625" style="4" bestFit="1" customWidth="1"/>
    <col min="14" max="14" width="10.5546875" style="4" bestFit="1" customWidth="1"/>
    <col min="15" max="16384" width="9.109375" style="4"/>
  </cols>
  <sheetData>
    <row r="1" spans="2:14" ht="23.4">
      <c r="B1" s="25" t="s">
        <v>91</v>
      </c>
      <c r="C1" s="165" t="s">
        <v>336</v>
      </c>
      <c r="D1" s="165"/>
      <c r="E1" s="9"/>
      <c r="F1" s="9"/>
      <c r="G1" s="9"/>
      <c r="H1" s="9"/>
      <c r="J1" s="150" t="s">
        <v>337</v>
      </c>
      <c r="K1" s="150"/>
      <c r="M1" s="150" t="s">
        <v>211</v>
      </c>
      <c r="N1" s="150"/>
    </row>
    <row r="2" spans="2:14">
      <c r="B2" s="17" t="s">
        <v>1</v>
      </c>
      <c r="C2" s="17" t="s">
        <v>10</v>
      </c>
      <c r="D2" s="17" t="s">
        <v>11</v>
      </c>
      <c r="E2" s="17" t="s">
        <v>12</v>
      </c>
      <c r="F2" s="17" t="s">
        <v>13</v>
      </c>
      <c r="G2" s="17" t="s">
        <v>356</v>
      </c>
      <c r="H2" s="17" t="s">
        <v>14</v>
      </c>
      <c r="J2" s="17" t="s">
        <v>10</v>
      </c>
      <c r="K2" s="17" t="s">
        <v>11</v>
      </c>
      <c r="M2" s="17" t="s">
        <v>10</v>
      </c>
      <c r="N2" s="17" t="s">
        <v>11</v>
      </c>
    </row>
    <row r="3" spans="2:14">
      <c r="B3" s="19" t="s">
        <v>15</v>
      </c>
      <c r="C3" s="60">
        <v>0.05</v>
      </c>
      <c r="D3" s="60">
        <v>250</v>
      </c>
      <c r="E3" s="60" t="s">
        <v>16</v>
      </c>
      <c r="F3" s="9" t="s">
        <v>96</v>
      </c>
      <c r="G3" s="9"/>
      <c r="H3" s="8" t="s">
        <v>17</v>
      </c>
      <c r="J3" s="60">
        <v>0.05</v>
      </c>
      <c r="K3" s="60">
        <v>250</v>
      </c>
      <c r="M3" s="60">
        <v>5.4179999999999999E-2</v>
      </c>
      <c r="N3" s="60">
        <v>275</v>
      </c>
    </row>
    <row r="4" spans="2:14">
      <c r="B4" s="160" t="s">
        <v>53</v>
      </c>
      <c r="C4" s="61">
        <v>2.351426</v>
      </c>
      <c r="D4" s="60">
        <v>6000</v>
      </c>
      <c r="E4" s="60" t="s">
        <v>16</v>
      </c>
      <c r="F4" s="9" t="s">
        <v>92</v>
      </c>
      <c r="G4" s="9"/>
      <c r="H4" s="8" t="s">
        <v>17</v>
      </c>
      <c r="J4" s="61">
        <v>2.0520239999999998</v>
      </c>
      <c r="K4" s="60"/>
      <c r="M4" s="61">
        <v>1.9731000000000001</v>
      </c>
      <c r="N4" s="60">
        <v>0</v>
      </c>
    </row>
    <row r="5" spans="2:14">
      <c r="B5" s="160"/>
      <c r="C5" s="61">
        <v>2.2367059999999999</v>
      </c>
      <c r="D5" s="60">
        <v>6000</v>
      </c>
      <c r="E5" s="60" t="s">
        <v>16</v>
      </c>
      <c r="F5" s="9" t="s">
        <v>93</v>
      </c>
      <c r="G5" s="9"/>
      <c r="H5" s="8" t="s">
        <v>17</v>
      </c>
      <c r="J5" s="61">
        <v>2.1572719999999999</v>
      </c>
      <c r="K5" s="60"/>
      <c r="M5" s="61">
        <v>2.0743</v>
      </c>
      <c r="N5" s="60">
        <v>0</v>
      </c>
    </row>
    <row r="6" spans="2:14">
      <c r="B6" s="160" t="s">
        <v>7</v>
      </c>
      <c r="C6" s="60">
        <v>1.0919999999999999E-2</v>
      </c>
      <c r="D6" s="60">
        <v>720</v>
      </c>
      <c r="E6" s="60" t="s">
        <v>16</v>
      </c>
      <c r="F6" s="9" t="s">
        <v>92</v>
      </c>
      <c r="G6" s="9"/>
      <c r="H6" s="8" t="s">
        <v>17</v>
      </c>
      <c r="J6" s="60">
        <v>1.04E-2</v>
      </c>
      <c r="K6" s="60">
        <v>720</v>
      </c>
      <c r="M6" s="60">
        <v>0.01</v>
      </c>
      <c r="N6" s="60">
        <v>720</v>
      </c>
    </row>
    <row r="7" spans="2:14">
      <c r="B7" s="160"/>
      <c r="C7" s="60">
        <v>1.04E-2</v>
      </c>
      <c r="D7" s="60">
        <v>720</v>
      </c>
      <c r="E7" s="60" t="s">
        <v>16</v>
      </c>
      <c r="F7" s="9" t="s">
        <v>93</v>
      </c>
      <c r="G7" s="9"/>
      <c r="H7" s="8" t="s">
        <v>17</v>
      </c>
      <c r="J7" s="60">
        <v>1.0919999999999999E-2</v>
      </c>
      <c r="K7" s="60"/>
      <c r="M7" s="60">
        <v>1.0500000000000001E-2</v>
      </c>
      <c r="N7" s="60">
        <v>0</v>
      </c>
    </row>
    <row r="8" spans="2:14">
      <c r="B8" s="125" t="s">
        <v>4</v>
      </c>
      <c r="C8" s="60">
        <v>3.4720000000000001E-2</v>
      </c>
      <c r="D8" s="60">
        <v>200</v>
      </c>
      <c r="E8" s="60" t="s">
        <v>16</v>
      </c>
      <c r="F8" s="9"/>
      <c r="G8" s="9"/>
      <c r="H8" s="8"/>
      <c r="J8" s="60"/>
      <c r="K8" s="60"/>
      <c r="M8" s="60">
        <v>3.4720000000000001E-2</v>
      </c>
      <c r="N8" s="60">
        <v>0</v>
      </c>
    </row>
    <row r="9" spans="2:14">
      <c r="B9" s="164" t="s">
        <v>50</v>
      </c>
      <c r="C9" s="62">
        <v>400</v>
      </c>
      <c r="D9" s="62">
        <v>0</v>
      </c>
      <c r="E9" s="63" t="s">
        <v>16</v>
      </c>
      <c r="F9" s="15" t="s">
        <v>85</v>
      </c>
      <c r="G9" s="15"/>
      <c r="H9" s="8"/>
      <c r="J9" s="62"/>
      <c r="K9" s="62"/>
      <c r="M9" s="62">
        <v>100</v>
      </c>
      <c r="N9" s="62">
        <v>0</v>
      </c>
    </row>
    <row r="10" spans="2:14">
      <c r="B10" s="164"/>
      <c r="C10" s="62">
        <v>800</v>
      </c>
      <c r="D10" s="62">
        <v>0</v>
      </c>
      <c r="E10" s="63" t="s">
        <v>16</v>
      </c>
      <c r="F10" s="15" t="s">
        <v>86</v>
      </c>
      <c r="G10" s="15"/>
      <c r="H10" s="8"/>
      <c r="J10" s="62"/>
      <c r="K10" s="62"/>
      <c r="M10" s="62">
        <v>200</v>
      </c>
      <c r="N10" s="62">
        <v>0</v>
      </c>
    </row>
    <row r="11" spans="2:14">
      <c r="B11" s="164"/>
      <c r="C11" s="62">
        <v>1400</v>
      </c>
      <c r="D11" s="62">
        <v>0</v>
      </c>
      <c r="E11" s="63" t="s">
        <v>16</v>
      </c>
      <c r="F11" s="15" t="s">
        <v>87</v>
      </c>
      <c r="G11" s="15"/>
      <c r="H11" s="8"/>
      <c r="J11" s="62"/>
      <c r="K11" s="62"/>
      <c r="M11" s="62">
        <v>350</v>
      </c>
      <c r="N11" s="62">
        <v>0</v>
      </c>
    </row>
    <row r="12" spans="2:14">
      <c r="B12" s="125" t="s">
        <v>25</v>
      </c>
      <c r="C12" s="60"/>
      <c r="D12" s="60"/>
      <c r="E12" s="60" t="s">
        <v>16</v>
      </c>
      <c r="F12" s="11"/>
      <c r="G12" s="11"/>
      <c r="H12" s="8" t="s">
        <v>17</v>
      </c>
      <c r="J12" s="60"/>
      <c r="K12" s="60"/>
      <c r="M12" s="60">
        <v>1E-3</v>
      </c>
      <c r="N12" s="60">
        <v>0</v>
      </c>
    </row>
    <row r="13" spans="2:14">
      <c r="B13" s="125" t="s">
        <v>26</v>
      </c>
      <c r="C13" s="60"/>
      <c r="D13" s="60"/>
      <c r="E13" s="60" t="s">
        <v>16</v>
      </c>
      <c r="F13" s="11" t="s">
        <v>94</v>
      </c>
      <c r="G13" s="11"/>
      <c r="H13" s="8" t="s">
        <v>17</v>
      </c>
      <c r="J13" s="60"/>
      <c r="K13" s="60"/>
      <c r="M13" s="60">
        <v>540</v>
      </c>
      <c r="N13" s="60">
        <v>0</v>
      </c>
    </row>
    <row r="14" spans="2:14">
      <c r="B14" s="125" t="s">
        <v>28</v>
      </c>
      <c r="C14" s="60"/>
      <c r="D14" s="60"/>
      <c r="E14" s="60" t="s">
        <v>16</v>
      </c>
      <c r="F14" s="11" t="s">
        <v>29</v>
      </c>
      <c r="G14" s="11"/>
      <c r="H14" s="8" t="s">
        <v>17</v>
      </c>
      <c r="J14" s="60"/>
      <c r="K14" s="60"/>
      <c r="M14" s="60">
        <v>800</v>
      </c>
      <c r="N14" s="60">
        <v>0</v>
      </c>
    </row>
    <row r="15" spans="2:14">
      <c r="B15" s="19" t="s">
        <v>30</v>
      </c>
      <c r="C15" s="60"/>
      <c r="D15" s="60"/>
      <c r="E15" s="60" t="s">
        <v>16</v>
      </c>
      <c r="F15" s="9"/>
      <c r="G15" s="9"/>
      <c r="H15" s="8" t="s">
        <v>17</v>
      </c>
      <c r="I15" s="31"/>
      <c r="J15" s="60"/>
      <c r="K15" s="60"/>
      <c r="M15" s="60">
        <v>100</v>
      </c>
      <c r="N15" s="60"/>
    </row>
    <row r="16" spans="2:14">
      <c r="B16" s="19" t="s">
        <v>32</v>
      </c>
      <c r="C16" s="60"/>
      <c r="D16" s="60"/>
      <c r="E16" s="60" t="s">
        <v>16</v>
      </c>
      <c r="F16" s="9"/>
      <c r="G16" s="9"/>
      <c r="H16" s="8" t="s">
        <v>17</v>
      </c>
      <c r="I16" s="31"/>
      <c r="J16" s="60"/>
      <c r="K16" s="60"/>
      <c r="M16" s="60">
        <v>3</v>
      </c>
      <c r="N16" s="60"/>
    </row>
    <row r="17" spans="2:14">
      <c r="B17" s="19" t="s">
        <v>34</v>
      </c>
      <c r="C17" s="60"/>
      <c r="D17" s="60"/>
      <c r="E17" s="60" t="s">
        <v>36</v>
      </c>
      <c r="F17" s="9"/>
      <c r="G17" s="9"/>
      <c r="H17" s="8" t="s">
        <v>17</v>
      </c>
      <c r="J17" s="60"/>
      <c r="K17" s="60"/>
      <c r="M17" s="60" t="s">
        <v>35</v>
      </c>
      <c r="N17" s="60"/>
    </row>
    <row r="18" spans="2:14">
      <c r="B18" s="19" t="s">
        <v>38</v>
      </c>
      <c r="C18" s="60"/>
      <c r="D18" s="60"/>
      <c r="E18" s="60" t="s">
        <v>16</v>
      </c>
      <c r="F18" s="9" t="s">
        <v>95</v>
      </c>
      <c r="G18" s="9"/>
      <c r="H18" s="8" t="s">
        <v>17</v>
      </c>
      <c r="J18" s="60"/>
      <c r="K18" s="60"/>
      <c r="M18" s="60">
        <v>90</v>
      </c>
      <c r="N18" s="60">
        <v>0</v>
      </c>
    </row>
    <row r="19" spans="2:14">
      <c r="B19" s="19" t="s">
        <v>39</v>
      </c>
      <c r="C19" s="60"/>
      <c r="D19" s="60"/>
      <c r="E19" s="60" t="s">
        <v>36</v>
      </c>
      <c r="F19" s="9"/>
      <c r="G19" s="9"/>
      <c r="H19" s="8" t="s">
        <v>17</v>
      </c>
      <c r="J19" s="60"/>
      <c r="K19" s="60"/>
      <c r="M19" s="60" t="s">
        <v>35</v>
      </c>
      <c r="N19" s="60"/>
    </row>
    <row r="20" spans="2:14">
      <c r="B20" s="19" t="s">
        <v>42</v>
      </c>
      <c r="C20" s="60"/>
      <c r="D20" s="60"/>
      <c r="E20" s="60" t="s">
        <v>16</v>
      </c>
      <c r="F20" s="9" t="s">
        <v>70</v>
      </c>
      <c r="G20" s="9"/>
      <c r="H20" s="8" t="s">
        <v>17</v>
      </c>
      <c r="J20" s="60"/>
      <c r="K20" s="60"/>
      <c r="M20" s="60">
        <v>150</v>
      </c>
      <c r="N20" s="60">
        <v>0</v>
      </c>
    </row>
    <row r="21" spans="2:14">
      <c r="B21" s="19" t="s">
        <v>44</v>
      </c>
      <c r="C21" s="60"/>
      <c r="D21" s="60"/>
      <c r="E21" s="60" t="s">
        <v>16</v>
      </c>
      <c r="F21" s="9" t="s">
        <v>45</v>
      </c>
      <c r="G21" s="9"/>
      <c r="H21" s="8" t="s">
        <v>17</v>
      </c>
      <c r="J21" s="60"/>
      <c r="K21" s="60"/>
      <c r="M21" s="60">
        <v>20</v>
      </c>
      <c r="N21" s="60">
        <v>0</v>
      </c>
    </row>
    <row r="22" spans="2:14">
      <c r="B22" s="19" t="s">
        <v>46</v>
      </c>
      <c r="C22" s="60"/>
      <c r="D22" s="60"/>
      <c r="E22" s="60" t="s">
        <v>16</v>
      </c>
      <c r="F22" s="9" t="s">
        <v>45</v>
      </c>
      <c r="G22" s="9"/>
      <c r="H22" s="8" t="s">
        <v>17</v>
      </c>
      <c r="J22" s="60"/>
      <c r="K22" s="60"/>
      <c r="M22" s="60">
        <v>150</v>
      </c>
      <c r="N22" s="60">
        <v>0</v>
      </c>
    </row>
    <row r="23" spans="2:14">
      <c r="B23" s="19" t="s">
        <v>47</v>
      </c>
      <c r="C23" s="60"/>
      <c r="D23" s="60"/>
      <c r="E23" s="60" t="s">
        <v>36</v>
      </c>
      <c r="F23" s="9"/>
      <c r="G23" s="9" t="s">
        <v>139</v>
      </c>
      <c r="H23" s="8" t="s">
        <v>17</v>
      </c>
      <c r="J23" s="60"/>
      <c r="K23" s="60"/>
      <c r="M23" s="60">
        <v>0</v>
      </c>
      <c r="N23" s="60"/>
    </row>
    <row r="24" spans="2:14">
      <c r="B24" s="19" t="s">
        <v>15</v>
      </c>
      <c r="C24" s="60">
        <v>6.0789999999999997E-2</v>
      </c>
      <c r="D24" s="60"/>
      <c r="E24" s="60" t="s">
        <v>16</v>
      </c>
      <c r="F24" s="9"/>
      <c r="G24" s="9" t="s">
        <v>139</v>
      </c>
      <c r="H24" s="8"/>
      <c r="J24" s="60"/>
      <c r="K24" s="60"/>
      <c r="M24" s="60"/>
      <c r="N24" s="60"/>
    </row>
    <row r="25" spans="2:14">
      <c r="B25" s="19" t="s">
        <v>53</v>
      </c>
      <c r="C25" s="60">
        <v>2.52189</v>
      </c>
      <c r="D25" s="60"/>
      <c r="E25" s="60" t="s">
        <v>16</v>
      </c>
      <c r="F25" s="9"/>
      <c r="G25" s="9" t="s">
        <v>139</v>
      </c>
      <c r="H25" s="8"/>
      <c r="J25" s="60"/>
      <c r="K25" s="60"/>
      <c r="M25" s="60"/>
      <c r="N25" s="60"/>
    </row>
    <row r="26" spans="2:14">
      <c r="B26" s="19" t="s">
        <v>7</v>
      </c>
      <c r="C26" s="60">
        <v>1.277E-2</v>
      </c>
      <c r="D26" s="60"/>
      <c r="E26" s="60" t="s">
        <v>16</v>
      </c>
      <c r="F26" s="9"/>
      <c r="G26" s="9" t="s">
        <v>139</v>
      </c>
      <c r="H26" s="8"/>
      <c r="J26" s="60"/>
      <c r="K26" s="60"/>
      <c r="M26" s="60"/>
      <c r="N26" s="60"/>
    </row>
    <row r="27" spans="2:14">
      <c r="B27" s="9" t="s">
        <v>365</v>
      </c>
      <c r="C27" s="9">
        <v>151.97</v>
      </c>
      <c r="D27" s="9"/>
      <c r="E27" s="9" t="s">
        <v>40</v>
      </c>
      <c r="F27" s="9"/>
      <c r="G27" s="9"/>
      <c r="H27" s="9"/>
    </row>
  </sheetData>
  <mergeCells count="6">
    <mergeCell ref="M1:N1"/>
    <mergeCell ref="B4:B5"/>
    <mergeCell ref="B6:B7"/>
    <mergeCell ref="B9:B11"/>
    <mergeCell ref="C1:D1"/>
    <mergeCell ref="J1:K1"/>
  </mergeCells>
  <conditionalFormatting sqref="H3:H6 H12:H22">
    <cfRule type="containsText" dxfId="92" priority="13" operator="containsText" text="Verified">
      <formula>NOT(ISERROR(SEARCH("Verified",H3)))</formula>
    </cfRule>
    <cfRule type="containsText" dxfId="91" priority="14" operator="containsText" text="Verified">
      <formula>NOT(ISERROR(SEARCH("Verified",H3)))</formula>
    </cfRule>
    <cfRule type="containsText" dxfId="90" priority="15" operator="containsText" text="Verified">
      <formula>NOT(ISERROR(SEARCH("Verified",H3)))</formula>
    </cfRule>
  </conditionalFormatting>
  <conditionalFormatting sqref="H7:H8">
    <cfRule type="containsText" dxfId="89" priority="7" operator="containsText" text="Verified">
      <formula>NOT(ISERROR(SEARCH("Verified",H7)))</formula>
    </cfRule>
    <cfRule type="containsText" dxfId="88" priority="8" operator="containsText" text="Verified">
      <formula>NOT(ISERROR(SEARCH("Verified",H7)))</formula>
    </cfRule>
    <cfRule type="containsText" dxfId="87" priority="9" operator="containsText" text="Verified">
      <formula>NOT(ISERROR(SEARCH("Verified",H7)))</formula>
    </cfRule>
  </conditionalFormatting>
  <conditionalFormatting sqref="H9:H12">
    <cfRule type="containsText" dxfId="86" priority="4" operator="containsText" text="Verified">
      <formula>NOT(ISERROR(SEARCH("Verified",H9)))</formula>
    </cfRule>
    <cfRule type="containsText" dxfId="85" priority="5" operator="containsText" text="Verified">
      <formula>NOT(ISERROR(SEARCH("Verified",H9)))</formula>
    </cfRule>
    <cfRule type="containsText" dxfId="84" priority="6" operator="containsText" text="Verified">
      <formula>NOT(ISERROR(SEARCH("Verified",H9)))</formula>
    </cfRule>
  </conditionalFormatting>
  <conditionalFormatting sqref="H23:H26">
    <cfRule type="containsText" dxfId="83" priority="1" operator="containsText" text="Verified">
      <formula>NOT(ISERROR(SEARCH("Verified",H23)))</formula>
    </cfRule>
    <cfRule type="containsText" dxfId="82" priority="2" operator="containsText" text="Verified">
      <formula>NOT(ISERROR(SEARCH("Verified",H23)))</formula>
    </cfRule>
    <cfRule type="containsText" dxfId="81" priority="3" operator="containsText" text="Verified">
      <formula>NOT(ISERROR(SEARCH("Verified",H23)))</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8151-3A67-45A6-9237-D51E38893D4B}">
  <sheetPr>
    <tabColor rgb="FFFFFF00"/>
  </sheetPr>
  <dimension ref="B1:Q49"/>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3.8"/>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109375" style="4" bestFit="1" customWidth="1"/>
    <col min="7" max="7" width="8.33203125" style="4" bestFit="1" customWidth="1"/>
    <col min="8" max="8" width="9.109375" style="4"/>
    <col min="9" max="9" width="14.6640625" style="4" bestFit="1" customWidth="1"/>
    <col min="10" max="10" width="10.5546875" style="4" bestFit="1" customWidth="1"/>
    <col min="11" max="11" width="9.109375" style="4"/>
    <col min="12" max="12" width="14.6640625" style="4" bestFit="1" customWidth="1"/>
    <col min="13" max="13" width="10.5546875" style="4" bestFit="1" customWidth="1"/>
    <col min="14" max="14" width="6.5546875" style="4" bestFit="1" customWidth="1"/>
    <col min="15" max="16" width="9.109375" style="4"/>
    <col min="17" max="17" width="12.6640625" style="4" bestFit="1" customWidth="1"/>
    <col min="18" max="16384" width="9.109375" style="4"/>
  </cols>
  <sheetData>
    <row r="1" spans="2:17">
      <c r="B1" s="3" t="s">
        <v>105</v>
      </c>
      <c r="C1" s="167" t="s">
        <v>212</v>
      </c>
      <c r="D1" s="167"/>
      <c r="E1" s="167"/>
      <c r="L1" s="167" t="s">
        <v>211</v>
      </c>
      <c r="M1" s="167"/>
      <c r="N1" s="167"/>
    </row>
    <row r="2" spans="2:17">
      <c r="B2" s="17" t="s">
        <v>1</v>
      </c>
      <c r="C2" s="17" t="s">
        <v>10</v>
      </c>
      <c r="D2" s="17" t="s">
        <v>11</v>
      </c>
      <c r="E2" s="17" t="s">
        <v>12</v>
      </c>
      <c r="F2" s="17" t="s">
        <v>13</v>
      </c>
      <c r="G2" s="17" t="s">
        <v>14</v>
      </c>
      <c r="I2" s="17" t="s">
        <v>10</v>
      </c>
      <c r="J2" s="17" t="s">
        <v>11</v>
      </c>
      <c r="L2" s="17" t="s">
        <v>10</v>
      </c>
      <c r="M2" s="17" t="s">
        <v>11</v>
      </c>
      <c r="N2" s="17" t="s">
        <v>12</v>
      </c>
    </row>
    <row r="3" spans="2:17">
      <c r="B3" s="168" t="s">
        <v>15</v>
      </c>
      <c r="C3" s="53">
        <f>10.4+(10.4*10%)</f>
        <v>11.440000000000001</v>
      </c>
      <c r="D3" s="53"/>
      <c r="E3" s="8" t="s">
        <v>40</v>
      </c>
      <c r="F3" s="9" t="s">
        <v>106</v>
      </c>
      <c r="G3" s="8" t="s">
        <v>17</v>
      </c>
      <c r="I3" s="72">
        <f>10.4+(10.4*10%)</f>
        <v>11.440000000000001</v>
      </c>
      <c r="J3" s="72"/>
      <c r="L3" s="7">
        <v>10.4</v>
      </c>
      <c r="M3" s="7">
        <f>L3*110%</f>
        <v>11.440000000000001</v>
      </c>
      <c r="N3" s="8" t="s">
        <v>40</v>
      </c>
    </row>
    <row r="4" spans="2:17">
      <c r="B4" s="169"/>
      <c r="C4" s="53">
        <v>8.65</v>
      </c>
      <c r="D4" s="53">
        <f>C4*110%</f>
        <v>9.5150000000000006</v>
      </c>
      <c r="E4" s="8" t="s">
        <v>40</v>
      </c>
      <c r="F4" s="9" t="s">
        <v>107</v>
      </c>
      <c r="G4" s="8" t="s">
        <v>37</v>
      </c>
      <c r="I4" s="72">
        <v>8.65</v>
      </c>
      <c r="J4" s="72">
        <f>I4*110%</f>
        <v>9.5150000000000006</v>
      </c>
      <c r="L4" s="7">
        <v>8.65</v>
      </c>
      <c r="M4" s="7">
        <f>L4*110%</f>
        <v>9.5150000000000006</v>
      </c>
      <c r="N4" s="8" t="s">
        <v>40</v>
      </c>
    </row>
    <row r="5" spans="2:17">
      <c r="B5" s="166" t="s">
        <v>129</v>
      </c>
      <c r="C5" s="52">
        <v>0</v>
      </c>
      <c r="D5" s="100">
        <v>2095</v>
      </c>
      <c r="E5" s="8" t="s">
        <v>16</v>
      </c>
      <c r="F5" s="9" t="s">
        <v>108</v>
      </c>
      <c r="G5" s="8" t="s">
        <v>17</v>
      </c>
      <c r="I5" s="98">
        <v>0</v>
      </c>
      <c r="J5" s="72">
        <v>1922</v>
      </c>
      <c r="L5" s="30">
        <v>0</v>
      </c>
      <c r="M5" s="7">
        <v>1830</v>
      </c>
      <c r="N5" s="8" t="s">
        <v>16</v>
      </c>
    </row>
    <row r="6" spans="2:17">
      <c r="B6" s="166"/>
      <c r="C6" s="52">
        <v>0.376</v>
      </c>
      <c r="D6" s="53">
        <v>3492</v>
      </c>
      <c r="E6" s="8" t="s">
        <v>16</v>
      </c>
      <c r="F6" s="11" t="s">
        <v>109</v>
      </c>
      <c r="G6" s="8" t="s">
        <v>17</v>
      </c>
      <c r="I6" s="98">
        <v>0.34499999999999997</v>
      </c>
      <c r="J6" s="72">
        <v>3203</v>
      </c>
      <c r="L6" s="30">
        <v>0.32900000000000001</v>
      </c>
      <c r="M6" s="7">
        <v>3050</v>
      </c>
      <c r="N6" s="8" t="s">
        <v>16</v>
      </c>
      <c r="Q6" s="73"/>
    </row>
    <row r="7" spans="2:17">
      <c r="B7" s="166"/>
      <c r="C7" s="52">
        <v>0.433</v>
      </c>
      <c r="D7" s="53">
        <v>0</v>
      </c>
      <c r="E7" s="8" t="s">
        <v>16</v>
      </c>
      <c r="F7" s="11" t="s">
        <v>110</v>
      </c>
      <c r="G7" s="8" t="s">
        <v>17</v>
      </c>
      <c r="I7" s="98">
        <v>0.39700000000000002</v>
      </c>
      <c r="J7" s="72">
        <v>0</v>
      </c>
      <c r="L7" s="30">
        <v>0.378</v>
      </c>
      <c r="M7" s="7">
        <v>0</v>
      </c>
      <c r="N7" s="8" t="s">
        <v>16</v>
      </c>
      <c r="Q7" s="73"/>
    </row>
    <row r="8" spans="2:17">
      <c r="B8" s="166"/>
      <c r="C8" s="52">
        <v>0.502</v>
      </c>
      <c r="D8" s="53">
        <v>0</v>
      </c>
      <c r="E8" s="8" t="s">
        <v>16</v>
      </c>
      <c r="F8" s="9" t="s">
        <v>111</v>
      </c>
      <c r="G8" s="8" t="s">
        <v>17</v>
      </c>
      <c r="I8" s="98">
        <v>0.46100000000000002</v>
      </c>
      <c r="J8" s="72">
        <v>0</v>
      </c>
      <c r="L8" s="30">
        <v>0.439</v>
      </c>
      <c r="M8" s="7">
        <v>0</v>
      </c>
      <c r="N8" s="8" t="s">
        <v>16</v>
      </c>
      <c r="Q8" s="73"/>
    </row>
    <row r="9" spans="2:17">
      <c r="B9" s="166"/>
      <c r="C9" s="52">
        <v>0.71199999999999997</v>
      </c>
      <c r="D9" s="53">
        <v>0</v>
      </c>
      <c r="E9" s="8" t="s">
        <v>16</v>
      </c>
      <c r="F9" s="9" t="s">
        <v>112</v>
      </c>
      <c r="G9" s="8" t="s">
        <v>17</v>
      </c>
      <c r="I9" s="98">
        <v>0.65300000000000002</v>
      </c>
      <c r="J9" s="72">
        <v>0</v>
      </c>
      <c r="L9" s="30">
        <v>0.622</v>
      </c>
      <c r="M9" s="7">
        <v>0</v>
      </c>
      <c r="N9" s="8" t="s">
        <v>16</v>
      </c>
      <c r="Q9" s="73"/>
    </row>
    <row r="10" spans="2:17">
      <c r="B10" s="166"/>
      <c r="C10" s="52">
        <v>0.82399999999999995</v>
      </c>
      <c r="D10" s="53">
        <v>0</v>
      </c>
      <c r="E10" s="8" t="s">
        <v>16</v>
      </c>
      <c r="F10" s="11" t="s">
        <v>113</v>
      </c>
      <c r="G10" s="8" t="s">
        <v>17</v>
      </c>
      <c r="I10" s="98">
        <v>0.75600000000000001</v>
      </c>
      <c r="J10" s="72">
        <v>0</v>
      </c>
      <c r="L10" s="30">
        <v>0.72</v>
      </c>
      <c r="M10" s="7">
        <v>0</v>
      </c>
      <c r="N10" s="8" t="s">
        <v>16</v>
      </c>
      <c r="Q10" s="73"/>
    </row>
    <row r="11" spans="2:17">
      <c r="B11" s="166" t="s">
        <v>130</v>
      </c>
      <c r="C11" s="52">
        <v>0</v>
      </c>
      <c r="D11" s="53">
        <v>41889</v>
      </c>
      <c r="E11" s="8" t="s">
        <v>40</v>
      </c>
      <c r="F11" s="9" t="s">
        <v>114</v>
      </c>
      <c r="G11" s="8" t="s">
        <v>37</v>
      </c>
      <c r="I11" s="98">
        <v>0</v>
      </c>
      <c r="J11" s="72">
        <v>38430</v>
      </c>
      <c r="L11" s="30">
        <v>0</v>
      </c>
      <c r="M11" s="7">
        <v>36600</v>
      </c>
      <c r="N11" s="8" t="s">
        <v>40</v>
      </c>
      <c r="Q11" s="73"/>
    </row>
    <row r="12" spans="2:17">
      <c r="B12" s="166"/>
      <c r="C12" s="52">
        <v>9.7799999999999994</v>
      </c>
      <c r="D12" s="53">
        <v>41889</v>
      </c>
      <c r="E12" s="8" t="s">
        <v>40</v>
      </c>
      <c r="F12" s="11" t="s">
        <v>109</v>
      </c>
      <c r="G12" s="8" t="s">
        <v>37</v>
      </c>
      <c r="I12" s="98">
        <v>8.9700000000000006</v>
      </c>
      <c r="J12" s="72">
        <v>38430</v>
      </c>
      <c r="L12" s="30">
        <v>8.5399999999999991</v>
      </c>
      <c r="M12" s="7">
        <v>36600</v>
      </c>
      <c r="N12" s="8" t="s">
        <v>40</v>
      </c>
      <c r="Q12" s="73"/>
    </row>
    <row r="13" spans="2:17">
      <c r="B13" s="166"/>
      <c r="C13" s="52">
        <v>11.17</v>
      </c>
      <c r="D13" s="53">
        <v>0</v>
      </c>
      <c r="E13" s="8" t="s">
        <v>40</v>
      </c>
      <c r="F13" s="11" t="s">
        <v>115</v>
      </c>
      <c r="G13" s="8" t="s">
        <v>37</v>
      </c>
      <c r="I13" s="98">
        <v>10.25</v>
      </c>
      <c r="J13" s="72">
        <v>0</v>
      </c>
      <c r="L13" s="30">
        <v>9.76</v>
      </c>
      <c r="M13" s="7">
        <v>0</v>
      </c>
      <c r="N13" s="8" t="s">
        <v>40</v>
      </c>
      <c r="Q13" s="73"/>
    </row>
    <row r="14" spans="2:17">
      <c r="B14" s="166"/>
      <c r="C14" s="52">
        <v>13.96</v>
      </c>
      <c r="D14" s="53">
        <v>0</v>
      </c>
      <c r="E14" s="8" t="s">
        <v>40</v>
      </c>
      <c r="F14" s="9" t="s">
        <v>116</v>
      </c>
      <c r="G14" s="8" t="s">
        <v>37</v>
      </c>
      <c r="I14" s="98">
        <v>12.81</v>
      </c>
      <c r="J14" s="72">
        <v>0</v>
      </c>
      <c r="L14" s="30">
        <v>12.2</v>
      </c>
      <c r="M14" s="7">
        <v>0</v>
      </c>
      <c r="N14" s="8" t="s">
        <v>40</v>
      </c>
      <c r="Q14" s="73"/>
    </row>
    <row r="15" spans="2:17">
      <c r="B15" s="166"/>
      <c r="C15" s="52">
        <v>19.54</v>
      </c>
      <c r="D15" s="53">
        <v>0</v>
      </c>
      <c r="E15" s="8" t="s">
        <v>40</v>
      </c>
      <c r="F15" s="9" t="s">
        <v>117</v>
      </c>
      <c r="G15" s="8" t="s">
        <v>37</v>
      </c>
      <c r="I15" s="98">
        <v>17.93</v>
      </c>
      <c r="J15" s="72">
        <v>0</v>
      </c>
      <c r="L15" s="30">
        <v>17.079999999999998</v>
      </c>
      <c r="M15" s="7">
        <v>0</v>
      </c>
      <c r="N15" s="8" t="s">
        <v>40</v>
      </c>
      <c r="Q15" s="73"/>
    </row>
    <row r="16" spans="2:17">
      <c r="B16" s="166"/>
      <c r="C16" s="52">
        <v>22.35</v>
      </c>
      <c r="D16" s="53">
        <v>0</v>
      </c>
      <c r="E16" s="8" t="s">
        <v>40</v>
      </c>
      <c r="F16" s="11" t="s">
        <v>113</v>
      </c>
      <c r="G16" s="8" t="s">
        <v>37</v>
      </c>
      <c r="I16" s="98">
        <v>20.5</v>
      </c>
      <c r="J16" s="72">
        <v>0</v>
      </c>
      <c r="L16" s="30">
        <v>19.52</v>
      </c>
      <c r="M16" s="7">
        <v>0</v>
      </c>
      <c r="N16" s="8" t="s">
        <v>40</v>
      </c>
      <c r="Q16" s="73"/>
    </row>
    <row r="17" spans="2:17">
      <c r="B17" s="166" t="s">
        <v>132</v>
      </c>
      <c r="C17" s="52">
        <v>0</v>
      </c>
      <c r="D17" s="53">
        <v>2431</v>
      </c>
      <c r="E17" s="8" t="s">
        <v>16</v>
      </c>
      <c r="F17" s="9" t="s">
        <v>108</v>
      </c>
      <c r="G17" s="8" t="s">
        <v>17</v>
      </c>
      <c r="I17" s="98">
        <v>0</v>
      </c>
      <c r="J17" s="72">
        <v>2230</v>
      </c>
      <c r="L17" s="30">
        <v>0</v>
      </c>
      <c r="M17" s="7">
        <v>2074</v>
      </c>
      <c r="N17" s="8" t="s">
        <v>16</v>
      </c>
      <c r="Q17" s="73"/>
    </row>
    <row r="18" spans="2:17">
      <c r="B18" s="166"/>
      <c r="C18" s="52">
        <v>0.42799999999999999</v>
      </c>
      <c r="D18" s="53">
        <v>3861</v>
      </c>
      <c r="E18" s="8" t="s">
        <v>16</v>
      </c>
      <c r="F18" s="11" t="s">
        <v>109</v>
      </c>
      <c r="G18" s="8" t="s">
        <v>17</v>
      </c>
      <c r="I18" s="98">
        <v>0.39300000000000002</v>
      </c>
      <c r="J18" s="72">
        <v>3542</v>
      </c>
      <c r="L18" s="30">
        <v>0.36599999999999999</v>
      </c>
      <c r="M18" s="7">
        <v>3294</v>
      </c>
      <c r="N18" s="8" t="s">
        <v>16</v>
      </c>
      <c r="Q18" s="73"/>
    </row>
    <row r="19" spans="2:17">
      <c r="B19" s="166"/>
      <c r="C19" s="52">
        <v>0.55800000000000005</v>
      </c>
      <c r="D19" s="53">
        <v>0</v>
      </c>
      <c r="E19" s="8" t="s">
        <v>16</v>
      </c>
      <c r="F19" s="11" t="s">
        <v>125</v>
      </c>
      <c r="G19" s="8" t="s">
        <v>17</v>
      </c>
      <c r="I19" s="98">
        <v>0.51200000000000001</v>
      </c>
      <c r="J19" s="72">
        <v>0</v>
      </c>
      <c r="L19" s="30">
        <v>0.47599999999999998</v>
      </c>
      <c r="M19" s="7">
        <v>0</v>
      </c>
      <c r="N19" s="8" t="s">
        <v>16</v>
      </c>
      <c r="Q19" s="73"/>
    </row>
    <row r="20" spans="2:17">
      <c r="B20" s="166"/>
      <c r="C20" s="52">
        <v>0.70299999999999996</v>
      </c>
      <c r="D20" s="53">
        <v>0</v>
      </c>
      <c r="E20" s="8" t="s">
        <v>16</v>
      </c>
      <c r="F20" s="9" t="s">
        <v>126</v>
      </c>
      <c r="G20" s="8" t="s">
        <v>17</v>
      </c>
      <c r="I20" s="98">
        <v>0.64500000000000002</v>
      </c>
      <c r="J20" s="72">
        <v>0</v>
      </c>
      <c r="L20" s="30">
        <v>0.6</v>
      </c>
      <c r="M20" s="7">
        <v>0</v>
      </c>
      <c r="N20" s="8" t="s">
        <v>16</v>
      </c>
      <c r="Q20" s="73"/>
    </row>
    <row r="21" spans="2:17">
      <c r="B21" s="166"/>
      <c r="C21" s="52">
        <v>0.85799999999999998</v>
      </c>
      <c r="D21" s="53">
        <v>0</v>
      </c>
      <c r="E21" s="8" t="s">
        <v>16</v>
      </c>
      <c r="F21" s="9" t="s">
        <v>112</v>
      </c>
      <c r="G21" s="8" t="s">
        <v>17</v>
      </c>
      <c r="I21" s="98">
        <v>0.78700000000000003</v>
      </c>
      <c r="J21" s="72">
        <v>0</v>
      </c>
      <c r="L21" s="30">
        <v>0.73199999999999998</v>
      </c>
      <c r="M21" s="7">
        <v>0</v>
      </c>
      <c r="N21" s="8" t="s">
        <v>16</v>
      </c>
      <c r="Q21" s="73"/>
    </row>
    <row r="22" spans="2:17">
      <c r="B22" s="166"/>
      <c r="C22" s="52">
        <v>0.92900000000000005</v>
      </c>
      <c r="D22" s="53">
        <v>0</v>
      </c>
      <c r="E22" s="8" t="s">
        <v>16</v>
      </c>
      <c r="F22" s="11" t="s">
        <v>113</v>
      </c>
      <c r="G22" s="8" t="s">
        <v>17</v>
      </c>
      <c r="I22" s="98">
        <v>0.85199999999999998</v>
      </c>
      <c r="J22" s="72">
        <v>0</v>
      </c>
      <c r="L22" s="30">
        <v>0.79300000000000004</v>
      </c>
      <c r="M22" s="7">
        <v>0</v>
      </c>
      <c r="N22" s="8" t="s">
        <v>16</v>
      </c>
      <c r="Q22" s="73"/>
    </row>
    <row r="23" spans="2:17">
      <c r="B23" s="166" t="s">
        <v>131</v>
      </c>
      <c r="C23" s="52">
        <v>0</v>
      </c>
      <c r="D23" s="53">
        <v>42887</v>
      </c>
      <c r="E23" s="8" t="s">
        <v>40</v>
      </c>
      <c r="F23" s="9" t="s">
        <v>114</v>
      </c>
      <c r="G23" s="8" t="s">
        <v>37</v>
      </c>
      <c r="I23" s="98">
        <v>0</v>
      </c>
      <c r="J23" s="72">
        <v>39345</v>
      </c>
      <c r="L23" s="30">
        <v>0</v>
      </c>
      <c r="M23" s="7">
        <v>36600</v>
      </c>
      <c r="N23" s="8" t="s">
        <v>40</v>
      </c>
      <c r="Q23" s="73"/>
    </row>
    <row r="24" spans="2:17">
      <c r="B24" s="166"/>
      <c r="C24" s="52">
        <v>10.01</v>
      </c>
      <c r="D24" s="53">
        <v>42887</v>
      </c>
      <c r="E24" s="8" t="s">
        <v>40</v>
      </c>
      <c r="F24" s="11" t="s">
        <v>109</v>
      </c>
      <c r="G24" s="8" t="s">
        <v>37</v>
      </c>
      <c r="I24" s="98">
        <v>9.18</v>
      </c>
      <c r="J24" s="72">
        <v>39345</v>
      </c>
      <c r="L24" s="30">
        <v>8.5399999999999991</v>
      </c>
      <c r="M24" s="7">
        <v>36600</v>
      </c>
      <c r="N24" s="8" t="s">
        <v>40</v>
      </c>
      <c r="Q24" s="73"/>
    </row>
    <row r="25" spans="2:17">
      <c r="B25" s="166"/>
      <c r="C25" s="52">
        <v>11.43</v>
      </c>
      <c r="D25" s="53">
        <v>0</v>
      </c>
      <c r="E25" s="8" t="s">
        <v>40</v>
      </c>
      <c r="F25" s="11" t="s">
        <v>127</v>
      </c>
      <c r="G25" s="8" t="s">
        <v>37</v>
      </c>
      <c r="I25" s="98">
        <v>10.49</v>
      </c>
      <c r="J25" s="72">
        <v>0</v>
      </c>
      <c r="L25" s="30">
        <v>9.76</v>
      </c>
      <c r="M25" s="7">
        <v>0</v>
      </c>
      <c r="N25" s="8" t="s">
        <v>40</v>
      </c>
      <c r="Q25" s="73"/>
    </row>
    <row r="26" spans="2:17">
      <c r="B26" s="166"/>
      <c r="C26" s="52">
        <v>14.3</v>
      </c>
      <c r="D26" s="53">
        <v>0</v>
      </c>
      <c r="E26" s="8" t="s">
        <v>40</v>
      </c>
      <c r="F26" s="9" t="s">
        <v>128</v>
      </c>
      <c r="G26" s="8" t="s">
        <v>37</v>
      </c>
      <c r="I26" s="98">
        <v>13.12</v>
      </c>
      <c r="J26" s="72">
        <v>0</v>
      </c>
      <c r="L26" s="30">
        <v>12.2</v>
      </c>
      <c r="M26" s="7">
        <v>0</v>
      </c>
      <c r="N26" s="8" t="s">
        <v>40</v>
      </c>
      <c r="Q26" s="73"/>
    </row>
    <row r="27" spans="2:17">
      <c r="B27" s="166"/>
      <c r="C27" s="52">
        <v>20.010000000000002</v>
      </c>
      <c r="D27" s="53">
        <v>0</v>
      </c>
      <c r="E27" s="8" t="s">
        <v>40</v>
      </c>
      <c r="F27" s="9" t="s">
        <v>117</v>
      </c>
      <c r="G27" s="8" t="s">
        <v>37</v>
      </c>
      <c r="I27" s="98">
        <v>18.36</v>
      </c>
      <c r="J27" s="72">
        <v>0</v>
      </c>
      <c r="L27" s="30">
        <v>17.079999999999998</v>
      </c>
      <c r="M27" s="7">
        <v>0</v>
      </c>
      <c r="N27" s="8" t="s">
        <v>40</v>
      </c>
      <c r="Q27" s="73"/>
    </row>
    <row r="28" spans="2:17">
      <c r="B28" s="166"/>
      <c r="C28" s="52">
        <v>22.87</v>
      </c>
      <c r="D28" s="53">
        <v>0</v>
      </c>
      <c r="E28" s="8" t="s">
        <v>40</v>
      </c>
      <c r="F28" s="11" t="s">
        <v>113</v>
      </c>
      <c r="G28" s="8" t="s">
        <v>37</v>
      </c>
      <c r="I28" s="98">
        <v>20.98</v>
      </c>
      <c r="J28" s="72">
        <v>0</v>
      </c>
      <c r="L28" s="30">
        <v>19.52</v>
      </c>
      <c r="M28" s="7">
        <v>0</v>
      </c>
      <c r="N28" s="8" t="s">
        <v>40</v>
      </c>
      <c r="Q28" s="73"/>
    </row>
    <row r="29" spans="2:17">
      <c r="B29" s="32" t="s">
        <v>339</v>
      </c>
      <c r="C29" s="53">
        <v>3.8999999999999998E-3</v>
      </c>
      <c r="D29" s="53">
        <v>805</v>
      </c>
      <c r="E29" s="8" t="s">
        <v>16</v>
      </c>
      <c r="F29" s="9" t="s">
        <v>118</v>
      </c>
      <c r="G29" s="8" t="s">
        <v>17</v>
      </c>
      <c r="I29" s="72">
        <v>3.8999999999999998E-3</v>
      </c>
      <c r="J29" s="72">
        <v>805</v>
      </c>
      <c r="L29" s="18">
        <v>3.5000000000000001E-3</v>
      </c>
      <c r="M29" s="18">
        <v>732</v>
      </c>
      <c r="N29" s="8" t="s">
        <v>16</v>
      </c>
      <c r="Q29" s="73"/>
    </row>
    <row r="30" spans="2:17">
      <c r="B30" s="32" t="s">
        <v>133</v>
      </c>
      <c r="C30" s="53">
        <v>0.11</v>
      </c>
      <c r="D30" s="53">
        <v>13420</v>
      </c>
      <c r="E30" s="8" t="s">
        <v>40</v>
      </c>
      <c r="F30" s="9" t="s">
        <v>134</v>
      </c>
      <c r="G30" s="8" t="s">
        <v>17</v>
      </c>
      <c r="I30" s="72">
        <v>0.11</v>
      </c>
      <c r="J30" s="72">
        <v>13420</v>
      </c>
      <c r="L30" s="18">
        <v>0.1</v>
      </c>
      <c r="M30" s="18">
        <v>12200</v>
      </c>
      <c r="N30" s="8" t="s">
        <v>40</v>
      </c>
      <c r="Q30" s="73"/>
    </row>
    <row r="31" spans="2:17">
      <c r="B31" s="32" t="s">
        <v>338</v>
      </c>
      <c r="C31" s="53">
        <v>5.4000000000000003E-3</v>
      </c>
      <c r="D31" s="53">
        <v>805</v>
      </c>
      <c r="E31" s="8" t="s">
        <v>16</v>
      </c>
      <c r="F31" s="9" t="s">
        <v>118</v>
      </c>
      <c r="G31" s="8" t="s">
        <v>17</v>
      </c>
      <c r="I31" s="72">
        <v>5.4000000000000003E-3</v>
      </c>
      <c r="J31" s="72">
        <v>805</v>
      </c>
      <c r="L31" s="18">
        <v>4.8999999999999998E-3</v>
      </c>
      <c r="M31" s="18">
        <v>732</v>
      </c>
      <c r="N31" s="8" t="s">
        <v>16</v>
      </c>
      <c r="Q31" s="73"/>
    </row>
    <row r="32" spans="2:17">
      <c r="B32" s="32" t="s">
        <v>135</v>
      </c>
      <c r="C32" s="53">
        <v>0.13</v>
      </c>
      <c r="D32" s="53">
        <v>13420</v>
      </c>
      <c r="E32" s="8" t="s">
        <v>40</v>
      </c>
      <c r="F32" s="9" t="s">
        <v>134</v>
      </c>
      <c r="G32" s="8" t="s">
        <v>17</v>
      </c>
      <c r="I32" s="72">
        <v>0.13</v>
      </c>
      <c r="J32" s="72">
        <v>13420</v>
      </c>
      <c r="L32" s="18">
        <v>0.12</v>
      </c>
      <c r="M32" s="18">
        <v>12200</v>
      </c>
      <c r="N32" s="8" t="s">
        <v>40</v>
      </c>
      <c r="Q32" s="73"/>
    </row>
    <row r="33" spans="2:14">
      <c r="B33" s="32" t="s">
        <v>4</v>
      </c>
      <c r="C33" s="53">
        <v>3.5000000000000003E-2</v>
      </c>
      <c r="D33" s="53">
        <v>200</v>
      </c>
      <c r="E33" s="8" t="s">
        <v>16</v>
      </c>
      <c r="F33" s="9"/>
      <c r="G33" s="8"/>
      <c r="I33" s="72">
        <v>3.5000000000000003E-2</v>
      </c>
      <c r="J33" s="72">
        <v>200</v>
      </c>
      <c r="L33" s="18">
        <v>3.5000000000000003E-2</v>
      </c>
      <c r="M33" s="18">
        <v>200</v>
      </c>
      <c r="N33" s="8" t="s">
        <v>16</v>
      </c>
    </row>
    <row r="34" spans="2:14">
      <c r="B34" s="154" t="s">
        <v>50</v>
      </c>
      <c r="C34" s="53">
        <v>400</v>
      </c>
      <c r="D34" s="53">
        <v>0</v>
      </c>
      <c r="E34" s="14" t="s">
        <v>16</v>
      </c>
      <c r="F34" s="15" t="s">
        <v>85</v>
      </c>
      <c r="G34" s="8"/>
      <c r="I34" s="72">
        <v>125</v>
      </c>
      <c r="J34" s="72">
        <v>0</v>
      </c>
      <c r="L34" s="13">
        <v>100</v>
      </c>
      <c r="M34" s="13">
        <v>0</v>
      </c>
      <c r="N34" s="14" t="s">
        <v>16</v>
      </c>
    </row>
    <row r="35" spans="2:14">
      <c r="B35" s="156"/>
      <c r="C35" s="53">
        <v>600</v>
      </c>
      <c r="D35" s="53">
        <v>0</v>
      </c>
      <c r="E35" s="14" t="s">
        <v>16</v>
      </c>
      <c r="F35" s="15" t="s">
        <v>86</v>
      </c>
      <c r="G35" s="8"/>
      <c r="I35" s="72">
        <v>190</v>
      </c>
      <c r="J35" s="72">
        <v>0</v>
      </c>
      <c r="L35" s="13">
        <v>150</v>
      </c>
      <c r="M35" s="13">
        <v>0</v>
      </c>
      <c r="N35" s="14" t="s">
        <v>16</v>
      </c>
    </row>
    <row r="36" spans="2:14">
      <c r="B36" s="155"/>
      <c r="C36" s="53">
        <v>800</v>
      </c>
      <c r="D36" s="53">
        <v>0</v>
      </c>
      <c r="E36" s="14" t="s">
        <v>16</v>
      </c>
      <c r="F36" s="15" t="s">
        <v>87</v>
      </c>
      <c r="G36" s="8"/>
      <c r="I36" s="72">
        <v>250</v>
      </c>
      <c r="J36" s="72">
        <v>0</v>
      </c>
      <c r="L36" s="13">
        <v>200</v>
      </c>
      <c r="M36" s="13">
        <v>0</v>
      </c>
      <c r="N36" s="14" t="s">
        <v>16</v>
      </c>
    </row>
    <row r="37" spans="2:14">
      <c r="B37" s="161" t="s">
        <v>25</v>
      </c>
      <c r="C37" s="53">
        <v>0.9</v>
      </c>
      <c r="D37" s="53">
        <v>864</v>
      </c>
      <c r="E37" s="8" t="s">
        <v>40</v>
      </c>
      <c r="F37" s="11" t="s">
        <v>119</v>
      </c>
      <c r="G37" s="8" t="s">
        <v>17</v>
      </c>
      <c r="I37" s="18">
        <v>0.9</v>
      </c>
      <c r="J37" s="18">
        <v>864</v>
      </c>
      <c r="L37" s="18">
        <v>0.9</v>
      </c>
      <c r="M37" s="18">
        <v>864</v>
      </c>
      <c r="N37" s="8" t="s">
        <v>40</v>
      </c>
    </row>
    <row r="38" spans="2:14">
      <c r="B38" s="163"/>
      <c r="C38" s="53">
        <v>0.9</v>
      </c>
      <c r="D38" s="53">
        <v>3456</v>
      </c>
      <c r="E38" s="8" t="s">
        <v>40</v>
      </c>
      <c r="F38" s="11" t="s">
        <v>120</v>
      </c>
      <c r="G38" s="8" t="s">
        <v>17</v>
      </c>
      <c r="I38" s="18">
        <v>0.9</v>
      </c>
      <c r="J38" s="18">
        <v>3456</v>
      </c>
      <c r="L38" s="18">
        <v>0.9</v>
      </c>
      <c r="M38" s="18">
        <v>3456</v>
      </c>
      <c r="N38" s="8" t="s">
        <v>40</v>
      </c>
    </row>
    <row r="39" spans="2:14" ht="27.6">
      <c r="B39" s="29" t="s">
        <v>26</v>
      </c>
      <c r="C39" s="53">
        <v>1600</v>
      </c>
      <c r="D39" s="53">
        <v>400</v>
      </c>
      <c r="E39" s="8" t="s">
        <v>16</v>
      </c>
      <c r="F39" s="11" t="s">
        <v>121</v>
      </c>
      <c r="G39" s="8" t="s">
        <v>17</v>
      </c>
      <c r="I39" s="18">
        <v>1600</v>
      </c>
      <c r="J39" s="18">
        <v>400</v>
      </c>
      <c r="L39" s="18">
        <v>1600</v>
      </c>
      <c r="M39" s="18">
        <v>400</v>
      </c>
      <c r="N39" s="8" t="s">
        <v>16</v>
      </c>
    </row>
    <row r="40" spans="2:14">
      <c r="B40" s="29" t="s">
        <v>28</v>
      </c>
      <c r="C40" s="53">
        <v>800</v>
      </c>
      <c r="D40" s="53">
        <v>0</v>
      </c>
      <c r="E40" s="8" t="s">
        <v>16</v>
      </c>
      <c r="F40" s="11" t="s">
        <v>29</v>
      </c>
      <c r="G40" s="8" t="s">
        <v>17</v>
      </c>
      <c r="I40" s="18">
        <v>800</v>
      </c>
      <c r="J40" s="18">
        <v>0</v>
      </c>
      <c r="L40" s="18">
        <v>800</v>
      </c>
      <c r="M40" s="18">
        <v>0</v>
      </c>
      <c r="N40" s="8" t="s">
        <v>16</v>
      </c>
    </row>
    <row r="41" spans="2:14">
      <c r="B41" s="19" t="s">
        <v>30</v>
      </c>
      <c r="C41" s="53">
        <v>50</v>
      </c>
      <c r="D41" s="53">
        <v>0</v>
      </c>
      <c r="E41" s="8" t="s">
        <v>16</v>
      </c>
      <c r="F41" s="9" t="s">
        <v>122</v>
      </c>
      <c r="G41" s="8" t="s">
        <v>17</v>
      </c>
      <c r="I41" s="18">
        <v>50</v>
      </c>
      <c r="J41" s="18">
        <v>0</v>
      </c>
      <c r="L41" s="18">
        <v>50</v>
      </c>
      <c r="M41" s="18">
        <v>0</v>
      </c>
      <c r="N41" s="8" t="s">
        <v>16</v>
      </c>
    </row>
    <row r="42" spans="2:14">
      <c r="B42" s="19" t="s">
        <v>32</v>
      </c>
      <c r="C42" s="53">
        <v>5</v>
      </c>
      <c r="D42" s="53">
        <v>0</v>
      </c>
      <c r="E42" s="8" t="s">
        <v>16</v>
      </c>
      <c r="F42" s="9" t="s">
        <v>33</v>
      </c>
      <c r="G42" s="8" t="s">
        <v>17</v>
      </c>
      <c r="I42" s="18">
        <v>5</v>
      </c>
      <c r="J42" s="18">
        <v>0</v>
      </c>
      <c r="L42" s="18">
        <v>5</v>
      </c>
      <c r="M42" s="18">
        <v>0</v>
      </c>
      <c r="N42" s="8" t="s">
        <v>16</v>
      </c>
    </row>
    <row r="43" spans="2:14">
      <c r="B43" s="19" t="s">
        <v>34</v>
      </c>
      <c r="C43" s="53" t="s">
        <v>35</v>
      </c>
      <c r="D43" s="53">
        <v>0</v>
      </c>
      <c r="E43" s="8" t="s">
        <v>36</v>
      </c>
      <c r="F43" s="11"/>
      <c r="G43" s="8" t="s">
        <v>17</v>
      </c>
      <c r="I43" s="18" t="s">
        <v>35</v>
      </c>
      <c r="J43" s="18">
        <v>0</v>
      </c>
      <c r="L43" s="18" t="s">
        <v>35</v>
      </c>
      <c r="M43" s="18">
        <v>0</v>
      </c>
      <c r="N43" s="8" t="s">
        <v>36</v>
      </c>
    </row>
    <row r="44" spans="2:14">
      <c r="B44" s="19" t="s">
        <v>38</v>
      </c>
      <c r="C44" s="53" t="s">
        <v>35</v>
      </c>
      <c r="D44" s="53">
        <v>0</v>
      </c>
      <c r="E44" s="8" t="s">
        <v>36</v>
      </c>
      <c r="F44" s="9"/>
      <c r="G44" s="8" t="s">
        <v>17</v>
      </c>
      <c r="I44" s="18" t="s">
        <v>35</v>
      </c>
      <c r="J44" s="18">
        <v>0</v>
      </c>
      <c r="L44" s="18" t="s">
        <v>35</v>
      </c>
      <c r="M44" s="18">
        <v>0</v>
      </c>
      <c r="N44" s="8" t="s">
        <v>36</v>
      </c>
    </row>
    <row r="45" spans="2:14">
      <c r="B45" s="19" t="s">
        <v>39</v>
      </c>
      <c r="C45" s="53">
        <v>25000</v>
      </c>
      <c r="D45" s="53">
        <v>0</v>
      </c>
      <c r="E45" s="8" t="s">
        <v>40</v>
      </c>
      <c r="F45" s="33" t="s">
        <v>123</v>
      </c>
      <c r="G45" s="8" t="s">
        <v>17</v>
      </c>
      <c r="I45" s="18">
        <v>25000</v>
      </c>
      <c r="J45" s="18">
        <v>0</v>
      </c>
      <c r="L45" s="18">
        <v>25000</v>
      </c>
      <c r="M45" s="18">
        <v>0</v>
      </c>
      <c r="N45" s="8" t="s">
        <v>40</v>
      </c>
    </row>
    <row r="46" spans="2:14">
      <c r="B46" s="19" t="s">
        <v>42</v>
      </c>
      <c r="C46" s="53">
        <v>150</v>
      </c>
      <c r="D46" s="53">
        <v>0</v>
      </c>
      <c r="E46" s="8" t="s">
        <v>16</v>
      </c>
      <c r="F46" s="9" t="s">
        <v>124</v>
      </c>
      <c r="G46" s="8" t="s">
        <v>17</v>
      </c>
      <c r="I46" s="18">
        <v>150</v>
      </c>
      <c r="J46" s="18">
        <v>0</v>
      </c>
      <c r="L46" s="18">
        <v>150</v>
      </c>
      <c r="M46" s="18">
        <v>0</v>
      </c>
      <c r="N46" s="8" t="s">
        <v>16</v>
      </c>
    </row>
    <row r="47" spans="2:14">
      <c r="B47" s="19" t="s">
        <v>44</v>
      </c>
      <c r="C47" s="53">
        <v>20</v>
      </c>
      <c r="D47" s="53">
        <v>0</v>
      </c>
      <c r="E47" s="8" t="s">
        <v>16</v>
      </c>
      <c r="F47" s="9" t="s">
        <v>45</v>
      </c>
      <c r="G47" s="8" t="s">
        <v>17</v>
      </c>
      <c r="I47" s="18">
        <v>20</v>
      </c>
      <c r="J47" s="18">
        <v>0</v>
      </c>
      <c r="L47" s="18">
        <v>20</v>
      </c>
      <c r="M47" s="18">
        <v>0</v>
      </c>
      <c r="N47" s="8" t="s">
        <v>16</v>
      </c>
    </row>
    <row r="48" spans="2:14">
      <c r="B48" s="19" t="s">
        <v>46</v>
      </c>
      <c r="C48" s="53">
        <v>150</v>
      </c>
      <c r="D48" s="53">
        <v>0</v>
      </c>
      <c r="E48" s="8" t="s">
        <v>16</v>
      </c>
      <c r="F48" s="9" t="s">
        <v>45</v>
      </c>
      <c r="G48" s="8" t="s">
        <v>17</v>
      </c>
      <c r="I48" s="18">
        <v>150</v>
      </c>
      <c r="J48" s="18">
        <v>0</v>
      </c>
      <c r="L48" s="18">
        <v>150</v>
      </c>
      <c r="M48" s="18">
        <v>0</v>
      </c>
      <c r="N48" s="8" t="s">
        <v>16</v>
      </c>
    </row>
    <row r="49" spans="2:14">
      <c r="B49" s="19" t="s">
        <v>47</v>
      </c>
      <c r="C49" s="53">
        <v>0</v>
      </c>
      <c r="D49" s="53">
        <v>0</v>
      </c>
      <c r="E49" s="8"/>
      <c r="F49" s="9"/>
      <c r="G49" s="8" t="s">
        <v>37</v>
      </c>
      <c r="I49" s="18">
        <v>0</v>
      </c>
      <c r="J49" s="18">
        <v>0</v>
      </c>
      <c r="L49" s="18">
        <v>0</v>
      </c>
      <c r="M49" s="18">
        <v>0</v>
      </c>
      <c r="N49" s="8"/>
    </row>
  </sheetData>
  <mergeCells count="9">
    <mergeCell ref="B37:B38"/>
    <mergeCell ref="B17:B22"/>
    <mergeCell ref="B23:B28"/>
    <mergeCell ref="B34:B36"/>
    <mergeCell ref="L1:N1"/>
    <mergeCell ref="C1:E1"/>
    <mergeCell ref="B3:B4"/>
    <mergeCell ref="B5:B10"/>
    <mergeCell ref="B11:B16"/>
  </mergeCells>
  <conditionalFormatting sqref="G3:G29 G33 G37:G49">
    <cfRule type="containsText" dxfId="80" priority="16" operator="containsText" text="Verified">
      <formula>NOT(ISERROR(SEARCH("Verified",G3)))</formula>
    </cfRule>
    <cfRule type="containsText" dxfId="79" priority="17" operator="containsText" text="Verified">
      <formula>NOT(ISERROR(SEARCH("Verified",G3)))</formula>
    </cfRule>
    <cfRule type="containsText" dxfId="78" priority="18" operator="containsText" text="Verified">
      <formula>NOT(ISERROR(SEARCH("Verified",G3)))</formula>
    </cfRule>
  </conditionalFormatting>
  <conditionalFormatting sqref="G30">
    <cfRule type="containsText" dxfId="77" priority="10" operator="containsText" text="Verified">
      <formula>NOT(ISERROR(SEARCH("Verified",G30)))</formula>
    </cfRule>
    <cfRule type="containsText" dxfId="76" priority="11" operator="containsText" text="Verified">
      <formula>NOT(ISERROR(SEARCH("Verified",G30)))</formula>
    </cfRule>
    <cfRule type="containsText" dxfId="75" priority="12" operator="containsText" text="Verified">
      <formula>NOT(ISERROR(SEARCH("Verified",G30)))</formula>
    </cfRule>
  </conditionalFormatting>
  <conditionalFormatting sqref="G31">
    <cfRule type="containsText" dxfId="74" priority="7" operator="containsText" text="Verified">
      <formula>NOT(ISERROR(SEARCH("Verified",G31)))</formula>
    </cfRule>
    <cfRule type="containsText" dxfId="73" priority="8" operator="containsText" text="Verified">
      <formula>NOT(ISERROR(SEARCH("Verified",G31)))</formula>
    </cfRule>
    <cfRule type="containsText" dxfId="72" priority="9" operator="containsText" text="Verified">
      <formula>NOT(ISERROR(SEARCH("Verified",G31)))</formula>
    </cfRule>
  </conditionalFormatting>
  <conditionalFormatting sqref="G32">
    <cfRule type="containsText" dxfId="71" priority="4" operator="containsText" text="Verified">
      <formula>NOT(ISERROR(SEARCH("Verified",G32)))</formula>
    </cfRule>
    <cfRule type="containsText" dxfId="70" priority="5" operator="containsText" text="Verified">
      <formula>NOT(ISERROR(SEARCH("Verified",G32)))</formula>
    </cfRule>
    <cfRule type="containsText" dxfId="69" priority="6" operator="containsText" text="Verified">
      <formula>NOT(ISERROR(SEARCH("Verified",G32)))</formula>
    </cfRule>
  </conditionalFormatting>
  <conditionalFormatting sqref="G34:G36">
    <cfRule type="containsText" dxfId="68" priority="1" operator="containsText" text="Verified">
      <formula>NOT(ISERROR(SEARCH("Verified",G34)))</formula>
    </cfRule>
    <cfRule type="containsText" dxfId="67" priority="2" operator="containsText" text="Verified">
      <formula>NOT(ISERROR(SEARCH("Verified",G34)))</formula>
    </cfRule>
    <cfRule type="containsText" dxfId="66" priority="3" operator="containsText" text="Verified">
      <formula>NOT(ISERROR(SEARCH("Verified",G34)))</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0AC9-5869-4FA0-AB46-2063E2AE8C81}">
  <sheetPr>
    <tabColor rgb="FFFFFF00"/>
  </sheetPr>
  <dimension ref="B1:AI155"/>
  <sheetViews>
    <sheetView showGridLines="0" zoomScale="80" zoomScaleNormal="80" workbookViewId="0">
      <pane xSplit="3" ySplit="2" topLeftCell="D3" activePane="bottomRight" state="frozen"/>
      <selection activeCell="O36" sqref="O36"/>
      <selection pane="topRight" activeCell="O36" sqref="O36"/>
      <selection pane="bottomLeft" activeCell="O36" sqref="O36"/>
      <selection pane="bottomRight" activeCell="O36" sqref="O36"/>
    </sheetView>
  </sheetViews>
  <sheetFormatPr defaultColWidth="9.109375" defaultRowHeight="14.4"/>
  <cols>
    <col min="1" max="1" width="3" style="4" customWidth="1"/>
    <col min="2" max="2" width="40.5546875" style="4" bestFit="1" customWidth="1"/>
    <col min="3" max="3" width="14.6640625" style="4" bestFit="1" customWidth="1"/>
    <col min="4" max="4" width="10.33203125" style="4" bestFit="1" customWidth="1"/>
    <col min="5" max="5" width="6.5546875" style="4" bestFit="1" customWidth="1"/>
    <col min="6" max="6" width="21.33203125" style="4" customWidth="1"/>
    <col min="7" max="7" width="8.77734375" style="4" bestFit="1" customWidth="1"/>
    <col min="8" max="8" width="1.88671875" style="4" customWidth="1"/>
    <col min="9" max="9" width="14.6640625" style="4" bestFit="1" customWidth="1"/>
    <col min="10" max="10" width="10.33203125" style="4" bestFit="1" customWidth="1"/>
    <col min="11" max="12" width="1.88671875" style="4" customWidth="1"/>
    <col min="13" max="13" width="14.6640625" style="4" bestFit="1" customWidth="1"/>
    <col min="14" max="14" width="10.33203125" style="4" bestFit="1" customWidth="1"/>
    <col min="15" max="15" width="2" style="4" customWidth="1"/>
    <col min="16" max="16" width="14.6640625" style="4" bestFit="1" customWidth="1"/>
    <col min="17" max="17" width="10.5546875" style="4" bestFit="1" customWidth="1"/>
    <col min="18" max="18" width="11.6640625" bestFit="1" customWidth="1"/>
    <col min="19" max="19" width="22.6640625" style="4" customWidth="1"/>
    <col min="20" max="22" width="11.6640625" bestFit="1" customWidth="1"/>
    <col min="23" max="27" width="12.21875" bestFit="1" customWidth="1"/>
    <col min="28" max="28" width="11.6640625" bestFit="1" customWidth="1"/>
    <col min="29" max="29" width="7.5546875" customWidth="1"/>
    <col min="30" max="30" width="11.6640625" bestFit="1" customWidth="1"/>
    <col min="36" max="16384" width="9.109375" style="4"/>
  </cols>
  <sheetData>
    <row r="1" spans="2:17" ht="61.2" customHeight="1">
      <c r="B1" s="56" t="s">
        <v>216</v>
      </c>
      <c r="C1" s="150" t="s">
        <v>336</v>
      </c>
      <c r="D1" s="150"/>
      <c r="I1" s="176" t="s">
        <v>324</v>
      </c>
      <c r="J1" s="150"/>
      <c r="M1" s="176" t="s">
        <v>323</v>
      </c>
      <c r="N1" s="150"/>
      <c r="O1" s="57"/>
      <c r="P1" s="150" t="s">
        <v>211</v>
      </c>
      <c r="Q1" s="150"/>
    </row>
    <row r="2" spans="2:17">
      <c r="B2" s="17" t="s">
        <v>1</v>
      </c>
      <c r="C2" s="17" t="s">
        <v>10</v>
      </c>
      <c r="D2" s="17" t="s">
        <v>11</v>
      </c>
      <c r="E2" s="17" t="s">
        <v>12</v>
      </c>
      <c r="F2" s="17" t="s">
        <v>13</v>
      </c>
      <c r="G2" s="17" t="s">
        <v>14</v>
      </c>
      <c r="I2" s="17" t="s">
        <v>10</v>
      </c>
      <c r="J2" s="17" t="s">
        <v>11</v>
      </c>
      <c r="M2" s="17" t="s">
        <v>10</v>
      </c>
      <c r="N2" s="17" t="s">
        <v>11</v>
      </c>
      <c r="P2" s="17" t="s">
        <v>10</v>
      </c>
      <c r="Q2" s="17" t="s">
        <v>11</v>
      </c>
    </row>
    <row r="3" spans="2:17" ht="27.6">
      <c r="B3" s="32" t="s">
        <v>144</v>
      </c>
      <c r="C3" s="7">
        <v>6.5060999999999994E-2</v>
      </c>
      <c r="D3" s="7">
        <v>500</v>
      </c>
      <c r="E3" s="8" t="s">
        <v>16</v>
      </c>
      <c r="F3" s="9" t="s">
        <v>142</v>
      </c>
      <c r="G3" s="8"/>
      <c r="I3" s="13">
        <v>6.5060999999999994E-2</v>
      </c>
      <c r="J3" s="13">
        <v>500</v>
      </c>
      <c r="M3" s="7">
        <v>2.6620000000000001E-2</v>
      </c>
      <c r="N3" s="7">
        <v>0</v>
      </c>
      <c r="P3" s="7">
        <v>2.2179999999999998E-2</v>
      </c>
      <c r="Q3" s="7">
        <v>0</v>
      </c>
    </row>
    <row r="4" spans="2:17" ht="27.6">
      <c r="B4" s="32" t="s">
        <v>143</v>
      </c>
      <c r="C4" s="7">
        <v>0.2</v>
      </c>
      <c r="D4" s="7">
        <v>500</v>
      </c>
      <c r="E4" s="8" t="s">
        <v>16</v>
      </c>
      <c r="F4" s="9" t="s">
        <v>142</v>
      </c>
      <c r="G4" s="8"/>
      <c r="I4" s="13">
        <v>0.09</v>
      </c>
      <c r="J4" s="13">
        <v>500</v>
      </c>
      <c r="M4" s="7">
        <v>6.5019999999999994E-2</v>
      </c>
      <c r="N4" s="7">
        <v>0</v>
      </c>
      <c r="P4" s="7">
        <v>5.4179999999999999E-2</v>
      </c>
      <c r="Q4" s="7">
        <v>0</v>
      </c>
    </row>
    <row r="5" spans="2:17" ht="27.6">
      <c r="B5" s="32" t="s">
        <v>145</v>
      </c>
      <c r="C5" s="7">
        <v>0.09</v>
      </c>
      <c r="D5" s="7">
        <v>500</v>
      </c>
      <c r="E5" s="8" t="s">
        <v>16</v>
      </c>
      <c r="F5" s="9" t="s">
        <v>142</v>
      </c>
      <c r="G5" s="8"/>
      <c r="I5" s="13">
        <v>7.4999999999999997E-2</v>
      </c>
      <c r="J5" s="13">
        <v>500</v>
      </c>
      <c r="M5" s="7">
        <v>5.2010000000000001E-2</v>
      </c>
      <c r="N5" s="7">
        <v>0</v>
      </c>
      <c r="P5" s="7">
        <v>4.3344000000000001E-2</v>
      </c>
      <c r="Q5" s="7">
        <v>0</v>
      </c>
    </row>
    <row r="6" spans="2:17">
      <c r="B6" s="166" t="s">
        <v>146</v>
      </c>
      <c r="C6" s="30">
        <v>1.2535000000000001</v>
      </c>
      <c r="D6" s="7">
        <v>0</v>
      </c>
      <c r="E6" s="8" t="s">
        <v>16</v>
      </c>
      <c r="F6" s="9" t="s">
        <v>340</v>
      </c>
      <c r="G6" s="8"/>
      <c r="I6" s="30">
        <v>0.66210999999999998</v>
      </c>
      <c r="J6" s="7">
        <v>0</v>
      </c>
      <c r="M6" s="30">
        <v>0.66210999999999998</v>
      </c>
      <c r="N6" s="7">
        <v>0</v>
      </c>
      <c r="P6" s="30">
        <v>0.61592000000000002</v>
      </c>
      <c r="Q6" s="7">
        <v>0</v>
      </c>
    </row>
    <row r="7" spans="2:17">
      <c r="B7" s="166"/>
      <c r="C7" s="30">
        <v>1.3625</v>
      </c>
      <c r="D7" s="7">
        <v>0</v>
      </c>
      <c r="E7" s="8" t="s">
        <v>16</v>
      </c>
      <c r="F7" s="11" t="s">
        <v>341</v>
      </c>
      <c r="G7" s="8"/>
      <c r="I7" s="30">
        <v>0.52344000000000002</v>
      </c>
      <c r="J7" s="7">
        <v>0</v>
      </c>
      <c r="M7" s="30">
        <v>0.52344000000000002</v>
      </c>
      <c r="N7" s="7">
        <v>0</v>
      </c>
      <c r="P7" s="30">
        <v>0.48692000000000002</v>
      </c>
      <c r="Q7" s="7">
        <v>0</v>
      </c>
    </row>
    <row r="8" spans="2:17">
      <c r="B8" s="166"/>
      <c r="C8" s="30">
        <v>1.526</v>
      </c>
      <c r="D8" s="7">
        <v>0</v>
      </c>
      <c r="E8" s="8" t="s">
        <v>16</v>
      </c>
      <c r="F8" s="11" t="s">
        <v>326</v>
      </c>
      <c r="G8" s="8"/>
      <c r="I8" s="30">
        <v>0.57074000000000003</v>
      </c>
      <c r="J8" s="7">
        <v>0</v>
      </c>
      <c r="M8" s="30">
        <v>0.57074000000000003</v>
      </c>
      <c r="N8" s="7">
        <v>0</v>
      </c>
      <c r="P8" s="30">
        <v>0.53091999999999995</v>
      </c>
      <c r="Q8" s="7">
        <v>0</v>
      </c>
    </row>
    <row r="9" spans="2:17">
      <c r="B9" s="166"/>
      <c r="C9" s="30"/>
      <c r="D9" s="7"/>
      <c r="E9" s="8"/>
      <c r="F9" s="9"/>
      <c r="G9" s="8"/>
      <c r="I9" s="30">
        <v>0.62556</v>
      </c>
      <c r="J9" s="7">
        <v>0</v>
      </c>
      <c r="M9" s="30">
        <v>0.62556</v>
      </c>
      <c r="N9" s="7">
        <v>0</v>
      </c>
      <c r="P9" s="30">
        <v>0.58191999999999999</v>
      </c>
      <c r="Q9" s="7">
        <v>0</v>
      </c>
    </row>
    <row r="10" spans="2:17">
      <c r="B10" s="166"/>
      <c r="C10" s="30"/>
      <c r="D10" s="7"/>
      <c r="E10" s="8"/>
      <c r="F10" s="9"/>
      <c r="G10" s="8"/>
      <c r="I10" s="30">
        <v>0.79864000000000002</v>
      </c>
      <c r="J10" s="7">
        <v>0</v>
      </c>
      <c r="M10" s="30">
        <v>0.79864000000000002</v>
      </c>
      <c r="N10" s="7">
        <v>0</v>
      </c>
      <c r="P10" s="30">
        <v>0.74292000000000002</v>
      </c>
      <c r="Q10" s="7">
        <v>0</v>
      </c>
    </row>
    <row r="11" spans="2:17">
      <c r="B11" s="166"/>
      <c r="C11" s="30"/>
      <c r="D11" s="7"/>
      <c r="E11" s="8"/>
      <c r="F11" s="11"/>
      <c r="G11" s="8"/>
      <c r="I11" s="30">
        <v>0.89109000000000005</v>
      </c>
      <c r="J11" s="7">
        <v>0</v>
      </c>
      <c r="M11" s="30">
        <v>0.89109000000000005</v>
      </c>
      <c r="N11" s="7">
        <v>0</v>
      </c>
      <c r="P11" s="30">
        <v>0.82891999999999999</v>
      </c>
      <c r="Q11" s="7">
        <v>0</v>
      </c>
    </row>
    <row r="12" spans="2:17">
      <c r="B12" s="166" t="s">
        <v>147</v>
      </c>
      <c r="C12" s="30">
        <v>1.2535000000000001</v>
      </c>
      <c r="D12" s="7">
        <v>0</v>
      </c>
      <c r="E12" s="8" t="s">
        <v>16</v>
      </c>
      <c r="F12" s="9" t="s">
        <v>340</v>
      </c>
      <c r="G12" s="8"/>
      <c r="I12" s="30">
        <v>1.03826</v>
      </c>
      <c r="J12" s="7">
        <v>0</v>
      </c>
      <c r="M12" s="92">
        <v>1.03826</v>
      </c>
      <c r="N12" s="13">
        <v>0</v>
      </c>
      <c r="O12" s="93"/>
      <c r="P12" s="92">
        <v>0.96582000000000001</v>
      </c>
      <c r="Q12" s="13">
        <v>0</v>
      </c>
    </row>
    <row r="13" spans="2:17">
      <c r="B13" s="166"/>
      <c r="C13" s="30">
        <v>1.3625</v>
      </c>
      <c r="D13" s="7">
        <v>0</v>
      </c>
      <c r="E13" s="8" t="s">
        <v>16</v>
      </c>
      <c r="F13" s="11" t="s">
        <v>341</v>
      </c>
      <c r="G13" s="8"/>
      <c r="I13" s="30">
        <v>1.2210099999999999</v>
      </c>
      <c r="J13" s="7">
        <v>0</v>
      </c>
      <c r="M13" s="30">
        <v>1.2210099999999999</v>
      </c>
      <c r="N13" s="7">
        <v>0</v>
      </c>
      <c r="P13" s="30">
        <v>1.1358200000000001</v>
      </c>
      <c r="Q13" s="7">
        <v>0</v>
      </c>
    </row>
    <row r="14" spans="2:17">
      <c r="B14" s="166"/>
      <c r="C14" s="30">
        <v>1.526</v>
      </c>
      <c r="D14" s="7">
        <v>0</v>
      </c>
      <c r="E14" s="8" t="s">
        <v>16</v>
      </c>
      <c r="F14" s="11" t="s">
        <v>326</v>
      </c>
      <c r="G14" s="8"/>
      <c r="I14" s="30">
        <v>1.30701</v>
      </c>
      <c r="J14" s="7">
        <v>0</v>
      </c>
      <c r="M14" s="92">
        <v>1.30701</v>
      </c>
      <c r="N14" s="13">
        <v>0</v>
      </c>
      <c r="O14" s="93"/>
      <c r="P14" s="92">
        <v>1.2158199999999999</v>
      </c>
      <c r="Q14" s="13">
        <v>0</v>
      </c>
    </row>
    <row r="15" spans="2:17">
      <c r="B15" s="166"/>
      <c r="C15" s="30"/>
      <c r="D15" s="7"/>
      <c r="E15" s="8"/>
      <c r="F15" s="9"/>
      <c r="G15" s="8"/>
      <c r="I15" s="30">
        <v>1.3285100000000001</v>
      </c>
      <c r="J15" s="7">
        <v>0</v>
      </c>
      <c r="M15" s="30">
        <v>1.3285100000000001</v>
      </c>
      <c r="N15" s="7">
        <v>0</v>
      </c>
      <c r="P15" s="30">
        <v>1.2358199999999999</v>
      </c>
      <c r="Q15" s="7">
        <v>0</v>
      </c>
    </row>
    <row r="16" spans="2:17">
      <c r="B16" s="166"/>
      <c r="C16" s="30"/>
      <c r="D16" s="7"/>
      <c r="E16" s="8"/>
      <c r="F16" s="9"/>
      <c r="G16" s="8"/>
      <c r="I16" s="30">
        <v>1.3930100000000001</v>
      </c>
      <c r="J16" s="7">
        <v>0</v>
      </c>
      <c r="M16" s="92">
        <v>1.3930100000000001</v>
      </c>
      <c r="N16" s="13">
        <v>0</v>
      </c>
      <c r="O16" s="93"/>
      <c r="P16" s="92">
        <v>1.29582</v>
      </c>
      <c r="Q16" s="13">
        <v>0</v>
      </c>
    </row>
    <row r="17" spans="2:17">
      <c r="B17" s="166"/>
      <c r="C17" s="30"/>
      <c r="D17" s="7"/>
      <c r="E17" s="8"/>
      <c r="F17" s="11"/>
      <c r="G17" s="8"/>
      <c r="I17" s="30"/>
      <c r="J17" s="7"/>
      <c r="M17" s="30"/>
      <c r="N17" s="7"/>
      <c r="P17" s="30"/>
      <c r="Q17" s="7"/>
    </row>
    <row r="18" spans="2:17" ht="13.5" customHeight="1">
      <c r="B18" s="166" t="s">
        <v>153</v>
      </c>
      <c r="C18" s="30">
        <v>1.2535000000000001</v>
      </c>
      <c r="D18" s="7">
        <v>0</v>
      </c>
      <c r="E18" s="8" t="s">
        <v>16</v>
      </c>
      <c r="F18" s="9" t="s">
        <v>340</v>
      </c>
      <c r="G18" s="8"/>
      <c r="I18" s="30">
        <v>0.82416</v>
      </c>
      <c r="J18" s="7">
        <v>0</v>
      </c>
      <c r="M18" s="30">
        <v>0.82416</v>
      </c>
      <c r="N18" s="7">
        <v>0</v>
      </c>
      <c r="P18" s="30">
        <v>0.766656</v>
      </c>
      <c r="Q18" s="7">
        <v>0</v>
      </c>
    </row>
    <row r="19" spans="2:17">
      <c r="B19" s="166"/>
      <c r="C19" s="30">
        <v>1.3625</v>
      </c>
      <c r="D19" s="7">
        <v>0</v>
      </c>
      <c r="E19" s="8" t="s">
        <v>16</v>
      </c>
      <c r="F19" s="11" t="s">
        <v>341</v>
      </c>
      <c r="G19" s="8"/>
      <c r="I19" s="30">
        <v>1.1144099999999999</v>
      </c>
      <c r="J19" s="7">
        <v>0</v>
      </c>
      <c r="M19" s="30">
        <v>1.1144099999999999</v>
      </c>
      <c r="N19" s="7">
        <v>0</v>
      </c>
      <c r="P19" s="30">
        <v>1.036656</v>
      </c>
      <c r="Q19" s="7">
        <v>0</v>
      </c>
    </row>
    <row r="20" spans="2:17">
      <c r="B20" s="166"/>
      <c r="C20" s="30">
        <v>1.526</v>
      </c>
      <c r="D20" s="7">
        <v>0</v>
      </c>
      <c r="E20" s="8" t="s">
        <v>16</v>
      </c>
      <c r="F20" s="11" t="s">
        <v>326</v>
      </c>
      <c r="G20" s="8"/>
      <c r="I20" s="30">
        <v>1.1681600000000001</v>
      </c>
      <c r="J20" s="7">
        <v>0</v>
      </c>
      <c r="M20" s="30">
        <v>1.1681600000000001</v>
      </c>
      <c r="N20" s="7">
        <v>0</v>
      </c>
      <c r="P20" s="30">
        <v>1.0866560000000001</v>
      </c>
      <c r="Q20" s="7">
        <v>0</v>
      </c>
    </row>
    <row r="21" spans="2:17">
      <c r="B21" s="166"/>
      <c r="C21" s="30"/>
      <c r="D21" s="7"/>
      <c r="E21" s="8"/>
      <c r="F21" s="9"/>
      <c r="G21" s="8"/>
      <c r="I21" s="30">
        <v>1.2219100000000001</v>
      </c>
      <c r="J21" s="7">
        <v>0</v>
      </c>
      <c r="M21" s="30">
        <v>1.2219100000000001</v>
      </c>
      <c r="N21" s="7">
        <v>0</v>
      </c>
      <c r="P21" s="30">
        <v>1.1366560000000001</v>
      </c>
      <c r="Q21" s="7">
        <v>0</v>
      </c>
    </row>
    <row r="22" spans="2:17">
      <c r="B22" s="166"/>
      <c r="C22" s="30"/>
      <c r="D22" s="7"/>
      <c r="E22" s="8"/>
      <c r="F22" s="9"/>
      <c r="G22" s="8"/>
      <c r="I22" s="30">
        <v>1.2864100000000001</v>
      </c>
      <c r="J22" s="7">
        <v>0</v>
      </c>
      <c r="M22" s="30">
        <v>1.2864100000000001</v>
      </c>
      <c r="N22" s="7">
        <v>0</v>
      </c>
      <c r="P22" s="30">
        <v>1.1966559999999999</v>
      </c>
      <c r="Q22" s="7">
        <v>0</v>
      </c>
    </row>
    <row r="23" spans="2:17">
      <c r="B23" s="166"/>
      <c r="C23" s="30"/>
      <c r="D23" s="7"/>
      <c r="E23" s="8"/>
      <c r="F23" s="11"/>
      <c r="G23" s="8"/>
      <c r="I23" s="30"/>
      <c r="J23" s="7"/>
      <c r="M23" s="30"/>
      <c r="N23" s="7"/>
      <c r="P23" s="30"/>
      <c r="Q23" s="7"/>
    </row>
    <row r="24" spans="2:17">
      <c r="B24" s="32" t="s">
        <v>158</v>
      </c>
      <c r="C24" s="30">
        <v>5.0000000000000001E-3</v>
      </c>
      <c r="D24" s="7">
        <v>500</v>
      </c>
      <c r="E24" s="8" t="s">
        <v>16</v>
      </c>
      <c r="F24" s="9"/>
      <c r="G24" s="8" t="s">
        <v>17</v>
      </c>
      <c r="I24" s="91">
        <v>5.0000000000000001E-3</v>
      </c>
      <c r="J24" s="13">
        <v>500</v>
      </c>
      <c r="M24" s="30">
        <v>3.1099999999999999E-3</v>
      </c>
      <c r="N24" s="7">
        <v>325</v>
      </c>
      <c r="P24" s="30">
        <v>3.1099999999999999E-3</v>
      </c>
      <c r="Q24" s="7">
        <v>325</v>
      </c>
    </row>
    <row r="25" spans="2:17">
      <c r="B25" s="32" t="s">
        <v>159</v>
      </c>
      <c r="C25" s="30">
        <v>0.01</v>
      </c>
      <c r="D25" s="7">
        <v>500</v>
      </c>
      <c r="E25" s="8" t="s">
        <v>16</v>
      </c>
      <c r="F25" s="9"/>
      <c r="G25" s="8" t="s">
        <v>17</v>
      </c>
      <c r="I25" s="91">
        <v>0.01</v>
      </c>
      <c r="J25" s="13">
        <v>500</v>
      </c>
      <c r="M25" s="30">
        <v>7.0000000000000001E-3</v>
      </c>
      <c r="N25" s="7">
        <v>325</v>
      </c>
      <c r="P25" s="30">
        <v>7.0000000000000001E-3</v>
      </c>
      <c r="Q25" s="7">
        <v>325</v>
      </c>
    </row>
    <row r="26" spans="2:17">
      <c r="B26" s="32" t="s">
        <v>4</v>
      </c>
      <c r="C26" s="30">
        <v>3.4720000000000001E-2</v>
      </c>
      <c r="D26" s="7">
        <v>200</v>
      </c>
      <c r="E26" s="8" t="s">
        <v>16</v>
      </c>
      <c r="F26" s="9" t="s">
        <v>154</v>
      </c>
      <c r="G26" s="8" t="s">
        <v>17</v>
      </c>
      <c r="I26" s="30">
        <v>3.4720000000000001E-2</v>
      </c>
      <c r="J26" s="7">
        <v>0</v>
      </c>
      <c r="M26" s="30">
        <v>3.4720000000000001E-2</v>
      </c>
      <c r="N26" s="7">
        <v>0</v>
      </c>
      <c r="P26" s="30">
        <v>3.4720000000000001E-2</v>
      </c>
      <c r="Q26" s="7">
        <v>0</v>
      </c>
    </row>
    <row r="27" spans="2:17">
      <c r="B27" s="173" t="s">
        <v>50</v>
      </c>
      <c r="C27" s="52">
        <v>2.6270999999999999E-2</v>
      </c>
      <c r="D27" s="53">
        <v>0</v>
      </c>
      <c r="E27" s="8" t="s">
        <v>16</v>
      </c>
      <c r="F27" s="55" t="s">
        <v>155</v>
      </c>
      <c r="G27" s="8" t="s">
        <v>17</v>
      </c>
      <c r="I27" s="52">
        <v>8.3400000000000002E-3</v>
      </c>
      <c r="J27" s="53">
        <v>0</v>
      </c>
      <c r="M27" s="52">
        <v>8.3400000000000002E-3</v>
      </c>
      <c r="N27" s="53">
        <v>0</v>
      </c>
      <c r="P27" s="52">
        <v>6.6670000000000002E-3</v>
      </c>
      <c r="Q27" s="53">
        <v>0</v>
      </c>
    </row>
    <row r="28" spans="2:17">
      <c r="B28" s="174"/>
      <c r="C28" s="52">
        <v>0.38326100000000002</v>
      </c>
      <c r="D28" s="53">
        <v>0</v>
      </c>
      <c r="E28" s="8" t="s">
        <v>16</v>
      </c>
      <c r="F28" s="55" t="s">
        <v>156</v>
      </c>
      <c r="G28" s="8"/>
      <c r="I28" s="52">
        <v>0.12167</v>
      </c>
      <c r="J28" s="53">
        <v>0</v>
      </c>
      <c r="M28" s="52">
        <v>0.12167</v>
      </c>
      <c r="N28" s="53">
        <v>0</v>
      </c>
      <c r="P28" s="52">
        <v>9.7337999999999994E-2</v>
      </c>
      <c r="Q28" s="53">
        <v>0</v>
      </c>
    </row>
    <row r="29" spans="2:17">
      <c r="B29" s="175"/>
      <c r="C29" s="52">
        <v>0.38326100000000002</v>
      </c>
      <c r="D29" s="53">
        <v>0</v>
      </c>
      <c r="E29" s="8" t="s">
        <v>16</v>
      </c>
      <c r="F29" s="55" t="s">
        <v>157</v>
      </c>
      <c r="G29" s="8"/>
      <c r="I29" s="52">
        <v>8.3400000000000002E-3</v>
      </c>
      <c r="J29" s="53">
        <v>0</v>
      </c>
      <c r="M29" s="52">
        <v>8.3400000000000002E-3</v>
      </c>
      <c r="N29" s="53">
        <v>0</v>
      </c>
      <c r="P29" s="52">
        <v>6.6670000000000002E-3</v>
      </c>
      <c r="Q29" s="53">
        <v>0</v>
      </c>
    </row>
    <row r="30" spans="2:17">
      <c r="B30" s="68" t="s">
        <v>302</v>
      </c>
      <c r="C30" s="72">
        <v>7.8159999999999993E-2</v>
      </c>
      <c r="D30" s="53">
        <v>0</v>
      </c>
      <c r="E30" s="54" t="s">
        <v>16</v>
      </c>
      <c r="F30" s="55">
        <v>7.8159999999999993E-2</v>
      </c>
      <c r="G30" s="76">
        <v>6.5739999999999993E-2</v>
      </c>
      <c r="I30" s="53"/>
      <c r="J30" s="53"/>
      <c r="M30" s="53"/>
      <c r="N30" s="53"/>
      <c r="P30" s="13">
        <v>100</v>
      </c>
      <c r="Q30" s="13">
        <v>0</v>
      </c>
    </row>
    <row r="31" spans="2:17">
      <c r="B31" s="69"/>
      <c r="C31" s="53"/>
      <c r="D31" s="53"/>
      <c r="E31" s="54"/>
      <c r="F31" s="55"/>
      <c r="G31" s="8"/>
      <c r="I31" s="53"/>
      <c r="J31" s="53"/>
      <c r="M31" s="53"/>
      <c r="N31" s="53"/>
      <c r="P31" s="13">
        <v>150</v>
      </c>
      <c r="Q31" s="13">
        <v>0</v>
      </c>
    </row>
    <row r="32" spans="2:17">
      <c r="B32" s="70"/>
      <c r="C32" s="53"/>
      <c r="D32" s="53"/>
      <c r="E32" s="54"/>
      <c r="F32" s="55"/>
      <c r="G32" s="8"/>
      <c r="I32" s="53"/>
      <c r="J32" s="53"/>
      <c r="M32" s="53"/>
      <c r="N32" s="53"/>
      <c r="P32" s="13">
        <v>200</v>
      </c>
      <c r="Q32" s="13">
        <v>0</v>
      </c>
    </row>
    <row r="33" spans="2:19">
      <c r="B33" s="123" t="s">
        <v>351</v>
      </c>
      <c r="C33" s="53">
        <v>0.115</v>
      </c>
      <c r="D33" s="53">
        <v>0</v>
      </c>
      <c r="E33" s="54" t="s">
        <v>16</v>
      </c>
      <c r="F33" s="55" t="s">
        <v>352</v>
      </c>
      <c r="G33" s="8" t="s">
        <v>17</v>
      </c>
      <c r="I33" s="53"/>
      <c r="J33" s="53"/>
      <c r="M33" s="53"/>
      <c r="N33" s="53"/>
      <c r="P33" s="13"/>
      <c r="Q33" s="13"/>
    </row>
    <row r="34" spans="2:19">
      <c r="B34" s="161" t="s">
        <v>214</v>
      </c>
      <c r="C34" s="18">
        <v>1.1249999999999999E-3</v>
      </c>
      <c r="D34" s="18">
        <v>0</v>
      </c>
      <c r="E34" s="8" t="s">
        <v>16</v>
      </c>
      <c r="F34" s="11"/>
      <c r="G34" s="8" t="s">
        <v>17</v>
      </c>
      <c r="I34" s="18"/>
      <c r="J34" s="18"/>
      <c r="M34" s="18"/>
      <c r="N34" s="18"/>
      <c r="P34" s="18"/>
      <c r="Q34" s="18"/>
    </row>
    <row r="35" spans="2:19">
      <c r="B35" s="163"/>
      <c r="C35" s="18"/>
      <c r="D35" s="18"/>
      <c r="E35" s="8"/>
      <c r="F35" s="11"/>
      <c r="G35" s="8" t="s">
        <v>17</v>
      </c>
      <c r="I35" s="18"/>
      <c r="J35" s="18"/>
      <c r="M35" s="18"/>
      <c r="N35" s="18"/>
      <c r="P35" s="18"/>
      <c r="Q35" s="18"/>
      <c r="S35"/>
    </row>
    <row r="36" spans="2:19">
      <c r="B36" s="166" t="s">
        <v>297</v>
      </c>
      <c r="C36" s="58">
        <f>ROUNDUP(C12/2,6)</f>
        <v>0.62675000000000003</v>
      </c>
      <c r="D36" s="66">
        <f>C36/C12</f>
        <v>0.5</v>
      </c>
      <c r="E36" s="8" t="s">
        <v>16</v>
      </c>
      <c r="F36" s="9" t="s">
        <v>148</v>
      </c>
      <c r="G36" s="8"/>
      <c r="I36" s="58"/>
      <c r="J36" s="7"/>
      <c r="M36" s="58"/>
      <c r="N36" s="7"/>
      <c r="P36" s="58"/>
      <c r="Q36" s="7"/>
      <c r="S36"/>
    </row>
    <row r="37" spans="2:19">
      <c r="B37" s="166"/>
      <c r="C37" s="58">
        <f>ROUNDUP(C13/2,6)</f>
        <v>0.68125000000000002</v>
      </c>
      <c r="D37" s="66">
        <f>C37/C13</f>
        <v>0.5</v>
      </c>
      <c r="E37" s="8" t="s">
        <v>16</v>
      </c>
      <c r="F37" s="11" t="s">
        <v>149</v>
      </c>
      <c r="G37" s="8"/>
      <c r="I37" s="58"/>
      <c r="J37" s="7"/>
      <c r="M37" s="58"/>
      <c r="N37" s="7"/>
      <c r="P37" s="58"/>
      <c r="Q37" s="7"/>
      <c r="S37"/>
    </row>
    <row r="38" spans="2:19">
      <c r="B38" s="166"/>
      <c r="C38" s="58">
        <f>ROUNDUP(C14/2,6)</f>
        <v>0.76300000000000001</v>
      </c>
      <c r="D38" s="66">
        <f>C38/C14</f>
        <v>0.5</v>
      </c>
      <c r="E38" s="8" t="s">
        <v>16</v>
      </c>
      <c r="F38" s="11" t="s">
        <v>150</v>
      </c>
      <c r="G38" s="8"/>
      <c r="I38" s="58"/>
      <c r="J38" s="7"/>
      <c r="M38" s="58"/>
      <c r="N38" s="7"/>
      <c r="P38" s="58"/>
      <c r="Q38" s="7"/>
      <c r="S38"/>
    </row>
    <row r="39" spans="2:19">
      <c r="B39" s="166"/>
      <c r="C39" s="58">
        <f>ROUNDUP(C15/2,6)</f>
        <v>0</v>
      </c>
      <c r="D39" s="66" t="e">
        <f>C39/C15</f>
        <v>#DIV/0!</v>
      </c>
      <c r="E39" s="8" t="s">
        <v>16</v>
      </c>
      <c r="F39" s="9" t="s">
        <v>151</v>
      </c>
      <c r="G39" s="8"/>
      <c r="I39" s="58"/>
      <c r="J39" s="7"/>
      <c r="M39" s="58"/>
      <c r="N39" s="7"/>
      <c r="P39" s="58"/>
      <c r="Q39" s="7"/>
      <c r="S39"/>
    </row>
    <row r="40" spans="2:19">
      <c r="B40" s="166"/>
      <c r="C40" s="58">
        <f>ROUNDUP(C16/2,6)</f>
        <v>0</v>
      </c>
      <c r="D40" s="66" t="e">
        <f>C40/C16</f>
        <v>#DIV/0!</v>
      </c>
      <c r="E40" s="8" t="s">
        <v>16</v>
      </c>
      <c r="F40" s="9" t="s">
        <v>152</v>
      </c>
      <c r="G40" s="8"/>
      <c r="I40" s="58"/>
      <c r="J40" s="7"/>
      <c r="M40" s="58"/>
      <c r="N40" s="7"/>
      <c r="P40" s="58"/>
      <c r="Q40" s="7"/>
      <c r="S40"/>
    </row>
    <row r="41" spans="2:19">
      <c r="B41" s="166"/>
      <c r="C41" s="30"/>
      <c r="D41" s="66"/>
      <c r="E41" s="8"/>
      <c r="F41" s="11"/>
      <c r="G41" s="8"/>
      <c r="I41" s="30"/>
      <c r="J41" s="7"/>
      <c r="M41" s="30"/>
      <c r="N41" s="7"/>
      <c r="P41" s="30"/>
      <c r="Q41" s="7"/>
      <c r="S41"/>
    </row>
    <row r="42" spans="2:19">
      <c r="B42" s="166" t="s">
        <v>298</v>
      </c>
      <c r="C42" s="58">
        <f>ROUNDUP(C18/2,6)</f>
        <v>0.62675000000000003</v>
      </c>
      <c r="D42" s="66">
        <f>C42/C18</f>
        <v>0.5</v>
      </c>
      <c r="E42" s="8" t="s">
        <v>16</v>
      </c>
      <c r="F42" s="9" t="s">
        <v>148</v>
      </c>
      <c r="G42" s="8"/>
      <c r="I42" s="58"/>
      <c r="J42" s="7"/>
      <c r="M42" s="58"/>
      <c r="N42" s="7"/>
      <c r="P42" s="58"/>
      <c r="Q42" s="7"/>
      <c r="S42"/>
    </row>
    <row r="43" spans="2:19">
      <c r="B43" s="166"/>
      <c r="C43" s="58">
        <f>ROUNDUP(C19/2,6)</f>
        <v>0.68125000000000002</v>
      </c>
      <c r="D43" s="66">
        <f>C43/C19</f>
        <v>0.5</v>
      </c>
      <c r="E43" s="8" t="s">
        <v>16</v>
      </c>
      <c r="F43" s="11" t="s">
        <v>149</v>
      </c>
      <c r="G43" s="8"/>
      <c r="I43" s="58"/>
      <c r="J43" s="7"/>
      <c r="M43" s="58"/>
      <c r="N43" s="7"/>
      <c r="P43" s="58"/>
      <c r="Q43" s="7"/>
      <c r="S43"/>
    </row>
    <row r="44" spans="2:19">
      <c r="B44" s="166"/>
      <c r="C44" s="58">
        <f>ROUNDUP(C20/2,6)</f>
        <v>0.76300000000000001</v>
      </c>
      <c r="D44" s="66">
        <f>C44/C20</f>
        <v>0.5</v>
      </c>
      <c r="E44" s="8" t="s">
        <v>16</v>
      </c>
      <c r="F44" s="11" t="s">
        <v>150</v>
      </c>
      <c r="G44" s="8"/>
      <c r="I44" s="58"/>
      <c r="J44" s="7"/>
      <c r="M44" s="58"/>
      <c r="N44" s="7"/>
      <c r="P44" s="58"/>
      <c r="Q44" s="7"/>
      <c r="S44"/>
    </row>
    <row r="45" spans="2:19">
      <c r="B45" s="166"/>
      <c r="C45" s="58">
        <f>ROUNDUP(C21/2,6)</f>
        <v>0</v>
      </c>
      <c r="D45" s="66" t="e">
        <f>C45/C21</f>
        <v>#DIV/0!</v>
      </c>
      <c r="E45" s="8" t="s">
        <v>16</v>
      </c>
      <c r="F45" s="9" t="s">
        <v>151</v>
      </c>
      <c r="G45" s="8"/>
      <c r="I45" s="58"/>
      <c r="J45" s="7"/>
      <c r="M45" s="58"/>
      <c r="N45" s="7"/>
      <c r="P45" s="58"/>
      <c r="Q45" s="7"/>
      <c r="S45"/>
    </row>
    <row r="46" spans="2:19">
      <c r="B46" s="166"/>
      <c r="C46" s="58">
        <f>ROUNDUP(C22/2,6)</f>
        <v>0</v>
      </c>
      <c r="D46" s="66" t="e">
        <f>C46/C22</f>
        <v>#DIV/0!</v>
      </c>
      <c r="E46" s="8" t="s">
        <v>16</v>
      </c>
      <c r="F46" s="9" t="s">
        <v>152</v>
      </c>
      <c r="G46" s="8"/>
      <c r="I46" s="58"/>
      <c r="J46" s="7"/>
      <c r="M46" s="58"/>
      <c r="N46" s="7"/>
      <c r="P46" s="58"/>
      <c r="Q46" s="7"/>
      <c r="S46"/>
    </row>
    <row r="47" spans="2:19">
      <c r="B47" s="166"/>
      <c r="C47" s="30"/>
      <c r="D47" s="66"/>
      <c r="E47" s="8"/>
      <c r="F47" s="11"/>
      <c r="G47" s="8"/>
      <c r="I47" s="30"/>
      <c r="J47" s="7"/>
      <c r="M47" s="30"/>
      <c r="N47" s="7"/>
      <c r="P47" s="30"/>
      <c r="Q47" s="7"/>
      <c r="S47"/>
    </row>
    <row r="48" spans="2:19">
      <c r="B48" s="166" t="s">
        <v>299</v>
      </c>
      <c r="C48" s="58">
        <f>ROUNDUP(C36/2,6)</f>
        <v>0.31337500000000001</v>
      </c>
      <c r="D48" s="66">
        <f>C48/C12</f>
        <v>0.25</v>
      </c>
      <c r="E48" s="8" t="s">
        <v>16</v>
      </c>
      <c r="F48" s="9" t="s">
        <v>148</v>
      </c>
      <c r="G48" s="8"/>
      <c r="I48" s="58"/>
      <c r="J48" s="7"/>
      <c r="M48" s="58"/>
      <c r="N48" s="7"/>
      <c r="P48" s="58"/>
      <c r="Q48" s="7"/>
      <c r="S48"/>
    </row>
    <row r="49" spans="2:19">
      <c r="B49" s="166"/>
      <c r="C49" s="58">
        <f>ROUNDUP(C37/2,6)</f>
        <v>0.34062500000000001</v>
      </c>
      <c r="D49" s="66">
        <f>C49/C13</f>
        <v>0.25</v>
      </c>
      <c r="E49" s="8" t="s">
        <v>16</v>
      </c>
      <c r="F49" s="11" t="s">
        <v>149</v>
      </c>
      <c r="G49" s="8"/>
      <c r="I49" s="58"/>
      <c r="J49" s="7"/>
      <c r="M49" s="58"/>
      <c r="N49" s="7"/>
      <c r="P49" s="58"/>
      <c r="Q49" s="7"/>
      <c r="S49"/>
    </row>
    <row r="50" spans="2:19">
      <c r="B50" s="166"/>
      <c r="C50" s="58">
        <f>ROUNDUP(C38/2,6)</f>
        <v>0.38150000000000001</v>
      </c>
      <c r="D50" s="66">
        <f>C50/C14</f>
        <v>0.25</v>
      </c>
      <c r="E50" s="8" t="s">
        <v>16</v>
      </c>
      <c r="F50" s="11" t="s">
        <v>150</v>
      </c>
      <c r="G50" s="8"/>
      <c r="I50" s="58"/>
      <c r="J50" s="7"/>
      <c r="M50" s="58"/>
      <c r="N50" s="7"/>
      <c r="P50" s="58"/>
      <c r="Q50" s="7"/>
      <c r="S50"/>
    </row>
    <row r="51" spans="2:19">
      <c r="B51" s="166"/>
      <c r="C51" s="58">
        <f>ROUNDUP(C39/2,6)</f>
        <v>0</v>
      </c>
      <c r="D51" s="66" t="e">
        <f>C51/C15</f>
        <v>#DIV/0!</v>
      </c>
      <c r="E51" s="8" t="s">
        <v>16</v>
      </c>
      <c r="F51" s="9" t="s">
        <v>151</v>
      </c>
      <c r="G51" s="8"/>
      <c r="I51" s="58"/>
      <c r="J51" s="7"/>
      <c r="M51" s="58"/>
      <c r="N51" s="7"/>
      <c r="P51" s="58"/>
      <c r="Q51" s="7"/>
      <c r="S51"/>
    </row>
    <row r="52" spans="2:19">
      <c r="B52" s="166"/>
      <c r="C52" s="58">
        <f>ROUNDUP(C40/2,6)</f>
        <v>0</v>
      </c>
      <c r="D52" s="66" t="e">
        <f>C52/C16</f>
        <v>#DIV/0!</v>
      </c>
      <c r="E52" s="8" t="s">
        <v>16</v>
      </c>
      <c r="F52" s="9" t="s">
        <v>152</v>
      </c>
      <c r="G52" s="8"/>
      <c r="I52" s="58"/>
      <c r="J52" s="7"/>
      <c r="M52" s="58"/>
      <c r="N52" s="7"/>
      <c r="P52" s="58"/>
      <c r="Q52" s="7"/>
      <c r="S52"/>
    </row>
    <row r="53" spans="2:19">
      <c r="B53" s="166"/>
      <c r="C53" s="30"/>
      <c r="D53" s="66"/>
      <c r="E53" s="8"/>
      <c r="F53" s="11"/>
      <c r="G53" s="8"/>
      <c r="I53" s="30"/>
      <c r="J53" s="7"/>
      <c r="M53" s="30"/>
      <c r="N53" s="7"/>
      <c r="P53" s="30"/>
      <c r="Q53" s="7"/>
      <c r="S53"/>
    </row>
    <row r="54" spans="2:19" ht="14.4" customHeight="1">
      <c r="B54" s="166" t="s">
        <v>300</v>
      </c>
      <c r="C54" s="58">
        <f>ROUNDUP(C42/2,6)</f>
        <v>0.31337500000000001</v>
      </c>
      <c r="D54" s="66">
        <f>C54/C18</f>
        <v>0.25</v>
      </c>
      <c r="E54" s="8"/>
      <c r="F54" s="9" t="s">
        <v>148</v>
      </c>
      <c r="G54" s="19"/>
      <c r="I54" s="58"/>
      <c r="J54" s="7"/>
      <c r="M54" s="58"/>
      <c r="N54" s="7"/>
      <c r="P54" s="58"/>
      <c r="Q54" s="7"/>
      <c r="S54"/>
    </row>
    <row r="55" spans="2:19">
      <c r="B55" s="166"/>
      <c r="C55" s="58">
        <f>ROUNDUP(C43/2,6)</f>
        <v>0.34062500000000001</v>
      </c>
      <c r="D55" s="66">
        <f>C55/C19</f>
        <v>0.25</v>
      </c>
      <c r="E55" s="8"/>
      <c r="F55" s="11" t="s">
        <v>149</v>
      </c>
      <c r="G55" s="19"/>
      <c r="I55" s="58"/>
      <c r="J55" s="7"/>
      <c r="M55" s="58"/>
      <c r="N55" s="7"/>
      <c r="P55" s="58"/>
      <c r="Q55" s="7"/>
      <c r="S55"/>
    </row>
    <row r="56" spans="2:19">
      <c r="B56" s="166"/>
      <c r="C56" s="58">
        <f>ROUNDUP(C44/2,6)</f>
        <v>0.38150000000000001</v>
      </c>
      <c r="D56" s="66">
        <f>C56/C20</f>
        <v>0.25</v>
      </c>
      <c r="E56" s="8"/>
      <c r="F56" s="11" t="s">
        <v>150</v>
      </c>
      <c r="G56" s="19"/>
      <c r="I56" s="58"/>
      <c r="J56" s="7"/>
      <c r="M56" s="58"/>
      <c r="N56" s="7"/>
      <c r="P56" s="58"/>
      <c r="Q56" s="7"/>
      <c r="S56"/>
    </row>
    <row r="57" spans="2:19">
      <c r="B57" s="166"/>
      <c r="C57" s="58">
        <f>ROUNDUP(C45/2,6)</f>
        <v>0</v>
      </c>
      <c r="D57" s="66" t="e">
        <f>C57/C21</f>
        <v>#DIV/0!</v>
      </c>
      <c r="E57" s="8"/>
      <c r="F57" s="9" t="s">
        <v>151</v>
      </c>
      <c r="G57" s="19"/>
      <c r="I57" s="58"/>
      <c r="J57" s="7"/>
      <c r="M57" s="58"/>
      <c r="N57" s="7"/>
      <c r="P57" s="58"/>
      <c r="Q57" s="7"/>
      <c r="S57"/>
    </row>
    <row r="58" spans="2:19">
      <c r="B58" s="166"/>
      <c r="C58" s="58">
        <f>ROUNDUP(C46/2,6)</f>
        <v>0</v>
      </c>
      <c r="D58" s="66" t="e">
        <f>C58/C22</f>
        <v>#DIV/0!</v>
      </c>
      <c r="E58" s="8"/>
      <c r="F58" s="9" t="s">
        <v>152</v>
      </c>
      <c r="G58" s="19"/>
      <c r="I58" s="58"/>
      <c r="J58" s="7"/>
      <c r="M58" s="58"/>
      <c r="N58" s="7"/>
      <c r="P58" s="58"/>
      <c r="Q58" s="7"/>
      <c r="S58"/>
    </row>
    <row r="59" spans="2:19">
      <c r="B59" s="166"/>
      <c r="C59" s="58"/>
      <c r="D59" s="7"/>
      <c r="E59" s="8"/>
      <c r="F59" s="11"/>
      <c r="G59" s="8"/>
      <c r="I59" s="30"/>
      <c r="J59" s="7"/>
      <c r="M59" s="30"/>
      <c r="N59" s="7"/>
      <c r="P59" s="30"/>
      <c r="Q59" s="7"/>
      <c r="S59"/>
    </row>
    <row r="60" spans="2:19">
      <c r="B60" s="34" t="s">
        <v>232</v>
      </c>
      <c r="C60" s="7">
        <v>1500</v>
      </c>
      <c r="D60" s="18">
        <v>0</v>
      </c>
      <c r="E60" s="8" t="s">
        <v>16</v>
      </c>
      <c r="F60" s="11"/>
      <c r="G60" s="8"/>
      <c r="I60" s="18"/>
      <c r="J60" s="18"/>
      <c r="M60" s="18"/>
      <c r="N60" s="18"/>
      <c r="P60" s="18"/>
      <c r="Q60" s="18"/>
      <c r="S60"/>
    </row>
    <row r="61" spans="2:19">
      <c r="B61" s="64" t="s">
        <v>291</v>
      </c>
      <c r="C61" s="7">
        <v>50</v>
      </c>
      <c r="D61" s="18"/>
      <c r="E61" s="8"/>
      <c r="F61" s="11"/>
      <c r="G61" s="8"/>
      <c r="I61" s="18"/>
      <c r="J61" s="18"/>
      <c r="M61" s="18"/>
      <c r="N61" s="18"/>
      <c r="P61" s="18"/>
      <c r="Q61" s="18"/>
      <c r="S61"/>
    </row>
    <row r="62" spans="2:19">
      <c r="B62" s="64" t="s">
        <v>272</v>
      </c>
      <c r="C62" s="7"/>
      <c r="D62" s="18"/>
      <c r="E62" s="8"/>
      <c r="F62" s="11"/>
      <c r="G62" s="8"/>
      <c r="I62" s="18"/>
      <c r="J62" s="18"/>
      <c r="M62" s="18"/>
      <c r="N62" s="18"/>
      <c r="P62" s="18"/>
      <c r="Q62" s="18"/>
      <c r="S62"/>
    </row>
    <row r="63" spans="2:19">
      <c r="B63" s="64" t="s">
        <v>287</v>
      </c>
      <c r="C63" s="7"/>
      <c r="D63" s="18"/>
      <c r="E63" s="8"/>
      <c r="F63" s="11"/>
      <c r="G63" s="8"/>
      <c r="I63" s="18"/>
      <c r="J63" s="18"/>
      <c r="M63" s="18"/>
      <c r="N63" s="18"/>
      <c r="P63" s="18"/>
      <c r="Q63" s="18"/>
      <c r="S63"/>
    </row>
    <row r="64" spans="2:19">
      <c r="B64" s="64" t="s">
        <v>277</v>
      </c>
      <c r="C64" s="7">
        <v>1</v>
      </c>
      <c r="D64" s="18"/>
      <c r="E64" s="8"/>
      <c r="F64" s="11"/>
      <c r="G64" s="8"/>
      <c r="I64" s="18"/>
      <c r="J64" s="18"/>
      <c r="M64" s="18"/>
      <c r="N64" s="18"/>
      <c r="P64" s="18"/>
      <c r="Q64" s="18"/>
      <c r="S64"/>
    </row>
    <row r="65" spans="2:19">
      <c r="B65" s="64" t="s">
        <v>294</v>
      </c>
      <c r="C65" s="7"/>
      <c r="D65" s="18"/>
      <c r="E65" s="8"/>
      <c r="F65" s="11"/>
      <c r="G65" s="8"/>
      <c r="I65" s="18"/>
      <c r="J65" s="18"/>
      <c r="M65" s="18"/>
      <c r="N65" s="18"/>
      <c r="P65" s="18"/>
      <c r="Q65" s="18"/>
      <c r="S65"/>
    </row>
    <row r="66" spans="2:19">
      <c r="B66" s="64" t="s">
        <v>242</v>
      </c>
      <c r="C66" s="7">
        <v>650</v>
      </c>
      <c r="D66" s="18"/>
      <c r="E66" s="8"/>
      <c r="F66" s="11"/>
      <c r="G66" s="8"/>
      <c r="I66" s="18"/>
      <c r="J66" s="18"/>
      <c r="M66" s="18"/>
      <c r="N66" s="18"/>
      <c r="P66" s="18"/>
      <c r="Q66" s="18"/>
      <c r="S66"/>
    </row>
    <row r="67" spans="2:19">
      <c r="B67" s="64" t="s">
        <v>270</v>
      </c>
      <c r="C67" s="7"/>
      <c r="D67" s="18"/>
      <c r="E67" s="8"/>
      <c r="F67" s="11"/>
      <c r="G67" s="8"/>
      <c r="I67" s="18"/>
      <c r="J67" s="18"/>
      <c r="M67" s="18"/>
      <c r="N67" s="18"/>
      <c r="P67" s="18"/>
      <c r="Q67" s="18"/>
      <c r="S67"/>
    </row>
    <row r="68" spans="2:19">
      <c r="B68" s="75" t="s">
        <v>305</v>
      </c>
      <c r="C68" s="7">
        <v>500</v>
      </c>
      <c r="D68" s="18"/>
      <c r="E68" s="8"/>
      <c r="F68" s="11" t="s">
        <v>306</v>
      </c>
      <c r="G68" s="8"/>
      <c r="I68" s="18"/>
      <c r="J68" s="18"/>
      <c r="M68" s="18"/>
      <c r="N68" s="18"/>
      <c r="P68" s="18"/>
      <c r="Q68" s="18"/>
      <c r="S68"/>
    </row>
    <row r="69" spans="2:19">
      <c r="B69" s="64" t="s">
        <v>261</v>
      </c>
      <c r="C69" s="7">
        <v>1.075</v>
      </c>
      <c r="D69" s="18"/>
      <c r="E69" s="8"/>
      <c r="F69" s="11"/>
      <c r="G69" s="8"/>
      <c r="I69" s="18"/>
      <c r="J69" s="18"/>
      <c r="M69" s="18"/>
      <c r="N69" s="18"/>
      <c r="P69" s="18"/>
      <c r="Q69" s="18"/>
      <c r="S69"/>
    </row>
    <row r="70" spans="2:19">
      <c r="B70" s="64" t="s">
        <v>243</v>
      </c>
      <c r="C70" s="7"/>
      <c r="D70" s="18"/>
      <c r="E70" s="8"/>
      <c r="F70" s="11"/>
      <c r="G70" s="8"/>
      <c r="I70" s="18"/>
      <c r="J70" s="18"/>
      <c r="M70" s="18"/>
      <c r="N70" s="18"/>
      <c r="P70" s="18"/>
      <c r="Q70" s="18"/>
      <c r="S70"/>
    </row>
    <row r="71" spans="2:19">
      <c r="B71" s="64" t="s">
        <v>275</v>
      </c>
      <c r="C71" s="7"/>
      <c r="D71" s="18"/>
      <c r="E71" s="8"/>
      <c r="F71" s="11"/>
      <c r="G71" s="8"/>
      <c r="I71" s="18"/>
      <c r="J71" s="18"/>
      <c r="M71" s="18"/>
      <c r="N71" s="18"/>
      <c r="P71" s="18"/>
      <c r="Q71" s="18"/>
      <c r="S71"/>
    </row>
    <row r="72" spans="2:19">
      <c r="B72" s="170" t="s">
        <v>322</v>
      </c>
      <c r="C72" s="7">
        <f>C12*1.5</f>
        <v>1.8802500000000002</v>
      </c>
      <c r="D72" s="18">
        <f t="shared" ref="D72:E76" si="0">D12</f>
        <v>0</v>
      </c>
      <c r="E72" s="8" t="str">
        <f t="shared" si="0"/>
        <v>USD</v>
      </c>
      <c r="F72" s="8" t="str">
        <f t="shared" ref="F72" si="1">F12</f>
        <v>UPTO 35000 GT</v>
      </c>
      <c r="G72" s="8"/>
      <c r="I72" s="18"/>
      <c r="J72" s="18"/>
      <c r="M72" s="18"/>
      <c r="N72" s="18"/>
      <c r="P72" s="18"/>
      <c r="Q72" s="18"/>
      <c r="S72"/>
    </row>
    <row r="73" spans="2:19">
      <c r="B73" s="171"/>
      <c r="C73" s="7">
        <f t="shared" ref="C73:C76" si="2">C13*1.5</f>
        <v>2.0437500000000002</v>
      </c>
      <c r="D73" s="18">
        <f t="shared" si="0"/>
        <v>0</v>
      </c>
      <c r="E73" s="8" t="str">
        <f t="shared" si="0"/>
        <v>USD</v>
      </c>
      <c r="F73" s="8" t="str">
        <f t="shared" ref="F73" si="3">F13</f>
        <v>35001 TO 45000 GT</v>
      </c>
      <c r="G73" s="8"/>
      <c r="I73" s="18"/>
      <c r="J73" s="18"/>
      <c r="M73" s="18"/>
      <c r="N73" s="18"/>
      <c r="P73" s="18"/>
      <c r="Q73" s="18"/>
      <c r="S73"/>
    </row>
    <row r="74" spans="2:19">
      <c r="B74" s="171"/>
      <c r="C74" s="7">
        <f t="shared" si="2"/>
        <v>2.2890000000000001</v>
      </c>
      <c r="D74" s="18">
        <f t="shared" si="0"/>
        <v>0</v>
      </c>
      <c r="E74" s="8" t="str">
        <f t="shared" si="0"/>
        <v>USD</v>
      </c>
      <c r="F74" s="8" t="str">
        <f t="shared" ref="F74" si="4">F14</f>
        <v>Above 45001 GT</v>
      </c>
      <c r="G74" s="8"/>
      <c r="I74" s="18"/>
      <c r="J74" s="18"/>
      <c r="M74" s="18"/>
      <c r="N74" s="18"/>
      <c r="P74" s="18"/>
      <c r="Q74" s="18"/>
      <c r="S74"/>
    </row>
    <row r="75" spans="2:19">
      <c r="B75" s="171"/>
      <c r="C75" s="7">
        <f t="shared" si="2"/>
        <v>0</v>
      </c>
      <c r="D75" s="18">
        <f t="shared" si="0"/>
        <v>0</v>
      </c>
      <c r="E75" s="8">
        <f t="shared" si="0"/>
        <v>0</v>
      </c>
      <c r="F75" s="8">
        <f t="shared" ref="F75" si="5">F15</f>
        <v>0</v>
      </c>
      <c r="G75" s="8"/>
      <c r="I75" s="18"/>
      <c r="J75" s="18"/>
      <c r="M75" s="18"/>
      <c r="N75" s="18"/>
      <c r="P75" s="18"/>
      <c r="Q75" s="18"/>
      <c r="S75"/>
    </row>
    <row r="76" spans="2:19">
      <c r="B76" s="172"/>
      <c r="C76" s="7">
        <f t="shared" si="2"/>
        <v>0</v>
      </c>
      <c r="D76" s="18">
        <f t="shared" si="0"/>
        <v>0</v>
      </c>
      <c r="E76" s="8">
        <f t="shared" si="0"/>
        <v>0</v>
      </c>
      <c r="F76" s="8">
        <f t="shared" ref="F76" si="6">F16</f>
        <v>0</v>
      </c>
      <c r="G76" s="8"/>
      <c r="I76" s="18"/>
      <c r="J76" s="18"/>
      <c r="M76" s="18"/>
      <c r="N76" s="18"/>
      <c r="P76" s="18"/>
      <c r="Q76" s="18"/>
      <c r="S76"/>
    </row>
    <row r="77" spans="2:19">
      <c r="B77" s="90"/>
      <c r="C77" s="7"/>
      <c r="D77" s="18"/>
      <c r="E77" s="8"/>
      <c r="F77" s="11"/>
      <c r="G77" s="8"/>
      <c r="I77" s="18"/>
      <c r="J77" s="18"/>
      <c r="M77" s="18"/>
      <c r="N77" s="18"/>
      <c r="P77" s="18"/>
      <c r="Q77" s="18"/>
      <c r="S77"/>
    </row>
    <row r="78" spans="2:19">
      <c r="B78" s="77" t="s">
        <v>313</v>
      </c>
      <c r="C78" s="7">
        <v>180</v>
      </c>
      <c r="D78" s="18"/>
      <c r="E78" s="8" t="s">
        <v>16</v>
      </c>
      <c r="F78" s="11"/>
      <c r="G78" s="8"/>
      <c r="I78" s="18"/>
      <c r="J78" s="18"/>
      <c r="M78" s="18"/>
      <c r="N78" s="18"/>
      <c r="P78" s="18"/>
      <c r="Q78" s="18"/>
      <c r="S78"/>
    </row>
    <row r="79" spans="2:19">
      <c r="B79" s="78" t="s">
        <v>308</v>
      </c>
      <c r="C79" s="7">
        <v>24000</v>
      </c>
      <c r="D79" s="18"/>
      <c r="E79" s="8" t="s">
        <v>40</v>
      </c>
      <c r="F79" s="11" t="s">
        <v>307</v>
      </c>
      <c r="G79" s="8"/>
      <c r="I79" s="18"/>
      <c r="J79" s="18"/>
      <c r="M79" s="18"/>
      <c r="N79" s="18"/>
      <c r="P79" s="18"/>
      <c r="Q79" s="18"/>
      <c r="S79"/>
    </row>
    <row r="80" spans="2:19">
      <c r="B80" s="78" t="s">
        <v>309</v>
      </c>
      <c r="C80" s="7">
        <v>34000</v>
      </c>
      <c r="D80" s="18"/>
      <c r="E80" s="8" t="s">
        <v>40</v>
      </c>
      <c r="F80" s="11" t="s">
        <v>307</v>
      </c>
      <c r="G80" s="8"/>
      <c r="I80" s="18"/>
      <c r="J80" s="18"/>
      <c r="M80" s="18"/>
      <c r="N80" s="18"/>
      <c r="P80" s="18"/>
      <c r="Q80" s="18"/>
      <c r="S80"/>
    </row>
    <row r="81" spans="2:19">
      <c r="B81" s="78" t="s">
        <v>310</v>
      </c>
      <c r="C81" s="7">
        <v>48000</v>
      </c>
      <c r="D81" s="18"/>
      <c r="E81" s="8" t="s">
        <v>40</v>
      </c>
      <c r="F81" s="11" t="s">
        <v>312</v>
      </c>
      <c r="G81" s="8"/>
      <c r="I81" s="18"/>
      <c r="J81" s="18"/>
      <c r="M81" s="18"/>
      <c r="N81" s="18"/>
      <c r="P81" s="18"/>
      <c r="Q81" s="18"/>
      <c r="S81"/>
    </row>
    <row r="82" spans="2:19">
      <c r="B82" s="78" t="s">
        <v>311</v>
      </c>
      <c r="C82" s="7">
        <v>68000</v>
      </c>
      <c r="D82" s="18"/>
      <c r="E82" s="8" t="s">
        <v>40</v>
      </c>
      <c r="F82" s="11" t="s">
        <v>312</v>
      </c>
      <c r="G82" s="8"/>
      <c r="I82" s="18"/>
      <c r="J82" s="18"/>
      <c r="M82" s="18"/>
      <c r="N82" s="18"/>
      <c r="P82" s="18"/>
      <c r="Q82" s="18"/>
      <c r="S82"/>
    </row>
    <row r="83" spans="2:19">
      <c r="B83" s="64" t="s">
        <v>215</v>
      </c>
      <c r="C83" s="7">
        <v>20</v>
      </c>
      <c r="D83" s="18"/>
      <c r="E83" s="8"/>
      <c r="F83" s="11"/>
      <c r="G83" s="8"/>
      <c r="I83" s="18"/>
      <c r="J83" s="18"/>
      <c r="M83" s="18"/>
      <c r="N83" s="18"/>
      <c r="P83" s="18"/>
      <c r="Q83" s="18"/>
      <c r="S83"/>
    </row>
    <row r="84" spans="2:19">
      <c r="B84" s="64" t="s">
        <v>278</v>
      </c>
      <c r="C84" s="7"/>
      <c r="D84" s="18"/>
      <c r="E84" s="8"/>
      <c r="F84" s="11"/>
      <c r="G84" s="8"/>
      <c r="I84" s="18"/>
      <c r="J84" s="18"/>
      <c r="M84" s="18"/>
      <c r="N84" s="18"/>
      <c r="P84" s="18"/>
      <c r="Q84" s="18"/>
      <c r="S84"/>
    </row>
    <row r="85" spans="2:19">
      <c r="B85" s="64" t="s">
        <v>280</v>
      </c>
      <c r="C85" s="7"/>
      <c r="D85" s="18"/>
      <c r="E85" s="8"/>
      <c r="F85" s="11"/>
      <c r="G85" s="8"/>
      <c r="I85" s="18"/>
      <c r="J85" s="18"/>
      <c r="M85" s="18"/>
      <c r="N85" s="18"/>
      <c r="P85" s="18"/>
      <c r="Q85" s="18"/>
      <c r="S85"/>
    </row>
    <row r="86" spans="2:19">
      <c r="B86" s="64" t="s">
        <v>281</v>
      </c>
      <c r="C86" s="7"/>
      <c r="D86" s="18"/>
      <c r="E86" s="8"/>
      <c r="F86" s="11"/>
      <c r="G86" s="8"/>
      <c r="I86" s="18"/>
      <c r="J86" s="18"/>
      <c r="M86" s="18"/>
      <c r="N86" s="18"/>
      <c r="P86" s="18"/>
      <c r="Q86" s="18"/>
      <c r="S86"/>
    </row>
    <row r="87" spans="2:19">
      <c r="B87" s="64" t="s">
        <v>279</v>
      </c>
      <c r="C87" s="7"/>
      <c r="D87" s="18"/>
      <c r="E87" s="8"/>
      <c r="F87" s="11"/>
      <c r="G87" s="8"/>
      <c r="I87" s="18"/>
      <c r="J87" s="18"/>
      <c r="M87" s="18"/>
      <c r="N87" s="18"/>
      <c r="P87" s="18"/>
      <c r="Q87" s="18"/>
      <c r="S87"/>
    </row>
    <row r="88" spans="2:19">
      <c r="B88" s="64" t="s">
        <v>240</v>
      </c>
      <c r="C88" s="7"/>
      <c r="D88" s="18"/>
      <c r="E88" s="8"/>
      <c r="F88" s="11"/>
      <c r="G88" s="8"/>
      <c r="I88" s="18"/>
      <c r="J88" s="18"/>
      <c r="M88" s="18"/>
      <c r="N88" s="18"/>
      <c r="P88" s="18"/>
      <c r="Q88" s="18"/>
      <c r="S88"/>
    </row>
    <row r="89" spans="2:19">
      <c r="B89" s="64" t="s">
        <v>262</v>
      </c>
      <c r="C89" s="7"/>
      <c r="D89" s="18"/>
      <c r="E89" s="8"/>
      <c r="F89" s="11"/>
      <c r="G89" s="8"/>
      <c r="I89" s="18"/>
      <c r="J89" s="18"/>
      <c r="M89" s="18"/>
      <c r="N89" s="18"/>
      <c r="P89" s="18"/>
      <c r="Q89" s="18"/>
      <c r="S89"/>
    </row>
    <row r="90" spans="2:19">
      <c r="B90" s="64" t="s">
        <v>266</v>
      </c>
      <c r="C90" s="7"/>
      <c r="D90" s="18"/>
      <c r="E90" s="8"/>
      <c r="F90" s="11"/>
      <c r="G90" s="8"/>
      <c r="I90" s="18"/>
      <c r="J90" s="18"/>
      <c r="M90" s="18"/>
      <c r="N90" s="18"/>
      <c r="P90" s="18"/>
      <c r="Q90" s="18"/>
      <c r="S90"/>
    </row>
    <row r="91" spans="2:19">
      <c r="B91" s="64" t="s">
        <v>238</v>
      </c>
      <c r="C91" s="7"/>
      <c r="D91" s="18"/>
      <c r="E91" s="8"/>
      <c r="F91" s="11"/>
      <c r="G91" s="8"/>
      <c r="I91" s="18"/>
      <c r="J91" s="18"/>
      <c r="M91" s="18"/>
      <c r="N91" s="18"/>
      <c r="P91" s="18"/>
      <c r="Q91" s="18"/>
      <c r="S91"/>
    </row>
    <row r="92" spans="2:19">
      <c r="B92" s="64" t="s">
        <v>227</v>
      </c>
      <c r="C92" s="7">
        <v>150</v>
      </c>
      <c r="D92" s="18"/>
      <c r="E92" s="8" t="s">
        <v>40</v>
      </c>
      <c r="F92" s="11"/>
      <c r="G92" s="8"/>
      <c r="I92" s="18"/>
      <c r="J92" s="18"/>
      <c r="M92" s="18"/>
      <c r="N92" s="18"/>
      <c r="P92" s="18"/>
      <c r="Q92" s="18"/>
      <c r="S92"/>
    </row>
    <row r="93" spans="2:19">
      <c r="B93" s="64" t="s">
        <v>239</v>
      </c>
      <c r="C93" s="7"/>
      <c r="D93" s="18"/>
      <c r="E93" s="8"/>
      <c r="F93" s="11"/>
      <c r="G93" s="8"/>
      <c r="I93" s="18"/>
      <c r="J93" s="18"/>
      <c r="M93" s="18"/>
      <c r="N93" s="18"/>
      <c r="P93" s="18"/>
      <c r="Q93" s="18"/>
      <c r="S93"/>
    </row>
    <row r="94" spans="2:19">
      <c r="B94" s="64" t="s">
        <v>219</v>
      </c>
      <c r="C94" s="7">
        <v>100</v>
      </c>
      <c r="D94" s="18"/>
      <c r="E94" s="8" t="s">
        <v>16</v>
      </c>
      <c r="F94" s="11"/>
      <c r="G94" s="8"/>
      <c r="I94" s="18"/>
      <c r="J94" s="18"/>
      <c r="M94" s="18"/>
      <c r="N94" s="18"/>
      <c r="P94" s="18"/>
      <c r="Q94" s="18"/>
      <c r="S94"/>
    </row>
    <row r="95" spans="2:19">
      <c r="B95" s="64" t="s">
        <v>222</v>
      </c>
      <c r="C95" s="7"/>
      <c r="D95" s="18"/>
      <c r="E95" s="8"/>
      <c r="F95" s="11"/>
      <c r="G95" s="8"/>
      <c r="I95" s="18"/>
      <c r="J95" s="18"/>
      <c r="M95" s="18"/>
      <c r="N95" s="18"/>
      <c r="P95" s="18"/>
      <c r="Q95" s="18"/>
      <c r="S95"/>
    </row>
    <row r="96" spans="2:19">
      <c r="B96" s="64" t="s">
        <v>221</v>
      </c>
      <c r="C96" s="7"/>
      <c r="D96" s="18"/>
      <c r="E96" s="8"/>
      <c r="F96" s="11"/>
      <c r="G96" s="8"/>
      <c r="I96" s="18"/>
      <c r="J96" s="18"/>
      <c r="M96" s="18"/>
      <c r="N96" s="18"/>
      <c r="P96" s="18"/>
      <c r="Q96" s="18"/>
      <c r="S96"/>
    </row>
    <row r="97" spans="2:19">
      <c r="B97" s="64" t="s">
        <v>220</v>
      </c>
      <c r="C97" s="7"/>
      <c r="D97" s="18"/>
      <c r="E97" s="8"/>
      <c r="F97" s="11"/>
      <c r="G97" s="8"/>
      <c r="I97" s="18"/>
      <c r="J97" s="18"/>
      <c r="M97" s="18"/>
      <c r="N97" s="18"/>
      <c r="P97" s="18"/>
      <c r="Q97" s="18"/>
      <c r="S97"/>
    </row>
    <row r="98" spans="2:19">
      <c r="B98" s="64" t="s">
        <v>288</v>
      </c>
      <c r="C98" s="7"/>
      <c r="D98" s="18"/>
      <c r="E98" s="8"/>
      <c r="F98" s="11"/>
      <c r="G98" s="8"/>
      <c r="I98" s="18"/>
      <c r="J98" s="18"/>
      <c r="M98" s="18"/>
      <c r="N98" s="18"/>
      <c r="P98" s="18"/>
      <c r="Q98" s="18"/>
      <c r="S98"/>
    </row>
    <row r="99" spans="2:19">
      <c r="B99" s="64" t="s">
        <v>285</v>
      </c>
      <c r="C99" s="7">
        <v>100</v>
      </c>
      <c r="D99" s="18"/>
      <c r="E99" s="8"/>
      <c r="F99" s="11"/>
      <c r="G99" s="8"/>
      <c r="I99" s="18"/>
      <c r="J99" s="18"/>
      <c r="M99" s="18"/>
      <c r="N99" s="18"/>
      <c r="P99" s="18"/>
      <c r="Q99" s="18"/>
      <c r="S99"/>
    </row>
    <row r="100" spans="2:19">
      <c r="B100" s="64" t="s">
        <v>268</v>
      </c>
      <c r="C100" s="7"/>
      <c r="D100" s="18"/>
      <c r="E100" s="8"/>
      <c r="F100" s="11"/>
      <c r="G100" s="8"/>
      <c r="I100" s="18"/>
      <c r="J100" s="18"/>
      <c r="M100" s="18"/>
      <c r="N100" s="18"/>
      <c r="P100" s="18"/>
      <c r="Q100" s="18"/>
      <c r="S100"/>
    </row>
    <row r="101" spans="2:19">
      <c r="B101" s="64" t="s">
        <v>224</v>
      </c>
      <c r="C101" s="7">
        <v>10750</v>
      </c>
      <c r="D101" s="18"/>
      <c r="E101" s="8" t="s">
        <v>40</v>
      </c>
      <c r="F101" s="11"/>
      <c r="G101" s="8"/>
      <c r="I101" s="18"/>
      <c r="J101" s="18"/>
      <c r="M101" s="18"/>
      <c r="N101" s="18"/>
      <c r="P101" s="18"/>
      <c r="Q101" s="18"/>
      <c r="S101"/>
    </row>
    <row r="102" spans="2:19">
      <c r="B102" s="79" t="s">
        <v>296</v>
      </c>
      <c r="C102" s="7">
        <v>15000</v>
      </c>
      <c r="D102" s="18"/>
      <c r="E102" s="8" t="s">
        <v>40</v>
      </c>
      <c r="F102" s="11" t="s">
        <v>319</v>
      </c>
      <c r="G102" s="8"/>
      <c r="I102" s="18"/>
      <c r="J102" s="18"/>
      <c r="M102" s="18"/>
      <c r="N102" s="18"/>
      <c r="P102" s="18"/>
      <c r="Q102" s="18"/>
      <c r="S102"/>
    </row>
    <row r="103" spans="2:19">
      <c r="B103" s="64" t="s">
        <v>217</v>
      </c>
      <c r="C103" s="7">
        <v>2150</v>
      </c>
      <c r="D103" s="18"/>
      <c r="E103" s="8"/>
      <c r="F103" s="11"/>
      <c r="G103" s="8"/>
      <c r="I103" s="18"/>
      <c r="J103" s="18"/>
      <c r="M103" s="18"/>
      <c r="N103" s="18"/>
      <c r="P103" s="18"/>
      <c r="Q103" s="18"/>
      <c r="S103"/>
    </row>
    <row r="104" spans="2:19">
      <c r="B104" s="64" t="s">
        <v>236</v>
      </c>
      <c r="C104" s="7"/>
      <c r="D104" s="18"/>
      <c r="E104" s="8"/>
      <c r="F104" s="11"/>
      <c r="G104" s="8"/>
      <c r="I104" s="18"/>
      <c r="J104" s="18"/>
      <c r="M104" s="18"/>
      <c r="N104" s="18"/>
      <c r="P104" s="18"/>
      <c r="Q104" s="18"/>
      <c r="S104"/>
    </row>
    <row r="105" spans="2:19">
      <c r="B105" s="64" t="s">
        <v>237</v>
      </c>
      <c r="C105" s="7"/>
      <c r="D105" s="18"/>
      <c r="E105" s="8"/>
      <c r="F105" s="11"/>
      <c r="G105" s="8"/>
      <c r="I105" s="18"/>
      <c r="J105" s="18"/>
      <c r="M105" s="18"/>
      <c r="N105" s="18"/>
      <c r="P105" s="18"/>
      <c r="Q105" s="18"/>
      <c r="S105"/>
    </row>
    <row r="106" spans="2:19">
      <c r="B106" s="64" t="s">
        <v>235</v>
      </c>
      <c r="C106" s="7">
        <v>250</v>
      </c>
      <c r="D106" s="18">
        <v>0</v>
      </c>
      <c r="E106" s="8" t="s">
        <v>16</v>
      </c>
      <c r="F106" s="74" t="s">
        <v>304</v>
      </c>
      <c r="G106" s="8"/>
      <c r="I106" s="18"/>
      <c r="J106" s="18"/>
      <c r="M106" s="18"/>
      <c r="N106" s="18"/>
      <c r="P106" s="18"/>
      <c r="Q106" s="18"/>
      <c r="S106"/>
    </row>
    <row r="107" spans="2:19">
      <c r="B107" s="64" t="s">
        <v>292</v>
      </c>
      <c r="C107" s="7"/>
      <c r="D107" s="18"/>
      <c r="E107" s="8"/>
      <c r="F107" s="11"/>
      <c r="G107" s="8"/>
      <c r="I107" s="18"/>
      <c r="J107" s="18"/>
      <c r="M107" s="18"/>
      <c r="N107" s="18"/>
      <c r="P107" s="18"/>
      <c r="Q107" s="18"/>
      <c r="S107"/>
    </row>
    <row r="108" spans="2:19">
      <c r="B108" s="64" t="s">
        <v>241</v>
      </c>
      <c r="C108" s="7"/>
      <c r="D108" s="18"/>
      <c r="E108" s="8"/>
      <c r="F108" s="11"/>
      <c r="G108" s="8"/>
      <c r="I108" s="18"/>
      <c r="J108" s="18"/>
      <c r="M108" s="18"/>
      <c r="N108" s="18"/>
      <c r="P108" s="18"/>
      <c r="Q108" s="18"/>
      <c r="S108"/>
    </row>
    <row r="109" spans="2:19">
      <c r="B109" s="64" t="s">
        <v>225</v>
      </c>
      <c r="C109" s="7"/>
      <c r="D109" s="18"/>
      <c r="E109" s="8"/>
      <c r="F109" s="11"/>
      <c r="G109" s="8"/>
      <c r="I109" s="18"/>
      <c r="J109" s="18"/>
      <c r="M109" s="18"/>
      <c r="N109" s="18"/>
      <c r="P109" s="18"/>
      <c r="Q109" s="18"/>
      <c r="S109"/>
    </row>
    <row r="110" spans="2:19">
      <c r="B110" s="64" t="s">
        <v>246</v>
      </c>
      <c r="C110" s="7">
        <v>100</v>
      </c>
      <c r="D110" s="18"/>
      <c r="E110" s="8" t="s">
        <v>16</v>
      </c>
      <c r="F110" s="11" t="s">
        <v>301</v>
      </c>
      <c r="G110" s="8"/>
      <c r="I110" s="18"/>
      <c r="J110" s="18"/>
      <c r="M110" s="18"/>
      <c r="N110" s="18"/>
      <c r="P110" s="18"/>
      <c r="Q110" s="18"/>
      <c r="S110"/>
    </row>
    <row r="111" spans="2:19">
      <c r="B111" s="64" t="s">
        <v>250</v>
      </c>
      <c r="C111" s="7"/>
      <c r="D111" s="18"/>
      <c r="E111" s="8"/>
      <c r="F111" s="11"/>
      <c r="G111" s="8"/>
      <c r="I111" s="18"/>
      <c r="J111" s="18"/>
      <c r="M111" s="18"/>
      <c r="N111" s="18"/>
      <c r="P111" s="18"/>
      <c r="Q111" s="18"/>
      <c r="S111"/>
    </row>
    <row r="112" spans="2:19">
      <c r="B112" s="64" t="s">
        <v>271</v>
      </c>
      <c r="C112" s="7">
        <v>300</v>
      </c>
      <c r="D112" s="18"/>
      <c r="E112" s="8"/>
      <c r="F112" s="11"/>
      <c r="G112" s="8"/>
      <c r="I112" s="18"/>
      <c r="J112" s="18"/>
      <c r="M112" s="18"/>
      <c r="N112" s="18"/>
      <c r="P112" s="18"/>
      <c r="Q112" s="18"/>
      <c r="S112"/>
    </row>
    <row r="113" spans="2:19">
      <c r="B113" s="64" t="s">
        <v>284</v>
      </c>
      <c r="C113" s="7"/>
      <c r="D113" s="18"/>
      <c r="E113" s="8"/>
      <c r="F113" s="11"/>
      <c r="G113" s="8"/>
      <c r="I113" s="18"/>
      <c r="J113" s="18"/>
      <c r="M113" s="18"/>
      <c r="N113" s="18"/>
      <c r="P113" s="18"/>
      <c r="Q113" s="18"/>
      <c r="S113"/>
    </row>
    <row r="114" spans="2:19">
      <c r="B114" s="64" t="s">
        <v>276</v>
      </c>
      <c r="C114" s="7"/>
      <c r="D114" s="18"/>
      <c r="E114" s="8"/>
      <c r="F114" s="11"/>
      <c r="G114" s="8"/>
      <c r="I114" s="18"/>
      <c r="J114" s="18"/>
      <c r="M114" s="18"/>
      <c r="N114" s="18"/>
      <c r="P114" s="18"/>
      <c r="Q114" s="18"/>
      <c r="S114"/>
    </row>
    <row r="115" spans="2:19">
      <c r="B115" s="64" t="s">
        <v>234</v>
      </c>
      <c r="C115" s="7">
        <v>280</v>
      </c>
      <c r="D115" s="18"/>
      <c r="E115" s="8" t="s">
        <v>16</v>
      </c>
      <c r="F115" s="11" t="s">
        <v>303</v>
      </c>
      <c r="G115" s="8" t="s">
        <v>17</v>
      </c>
      <c r="I115" s="18"/>
      <c r="J115" s="18"/>
      <c r="M115" s="18"/>
      <c r="N115" s="18"/>
      <c r="P115" s="18"/>
      <c r="Q115" s="18"/>
      <c r="S115"/>
    </row>
    <row r="116" spans="2:19">
      <c r="B116" s="64" t="s">
        <v>233</v>
      </c>
      <c r="C116" s="7"/>
      <c r="D116" s="18"/>
      <c r="E116" s="8"/>
      <c r="F116" s="11"/>
      <c r="G116" s="8"/>
      <c r="I116" s="18"/>
      <c r="J116" s="18"/>
      <c r="M116" s="18"/>
      <c r="N116" s="18"/>
      <c r="P116" s="18"/>
      <c r="Q116" s="18"/>
      <c r="S116"/>
    </row>
    <row r="117" spans="2:19">
      <c r="B117" s="64" t="s">
        <v>255</v>
      </c>
      <c r="C117" s="7">
        <v>1290</v>
      </c>
      <c r="D117" s="18"/>
      <c r="E117" s="8" t="s">
        <v>16</v>
      </c>
      <c r="F117" s="11" t="s">
        <v>314</v>
      </c>
      <c r="G117" s="8"/>
      <c r="I117" s="18"/>
      <c r="J117" s="18"/>
      <c r="M117" s="18"/>
      <c r="N117" s="18"/>
      <c r="P117" s="18"/>
      <c r="Q117" s="18"/>
      <c r="S117"/>
    </row>
    <row r="118" spans="2:19">
      <c r="B118" s="64" t="s">
        <v>254</v>
      </c>
      <c r="C118" s="7">
        <v>0</v>
      </c>
      <c r="D118" s="18"/>
      <c r="E118" s="8" t="s">
        <v>16</v>
      </c>
      <c r="F118" s="11" t="s">
        <v>315</v>
      </c>
      <c r="G118" s="8"/>
      <c r="I118" s="18"/>
      <c r="J118" s="18"/>
      <c r="M118" s="18"/>
      <c r="N118" s="18"/>
      <c r="P118" s="18"/>
      <c r="Q118" s="18"/>
      <c r="S118"/>
    </row>
    <row r="119" spans="2:19">
      <c r="B119" s="64" t="s">
        <v>259</v>
      </c>
      <c r="C119" s="7">
        <v>1290</v>
      </c>
      <c r="D119" s="18"/>
      <c r="E119" s="8" t="s">
        <v>16</v>
      </c>
      <c r="F119" s="11" t="s">
        <v>314</v>
      </c>
      <c r="G119" s="8"/>
      <c r="I119" s="18"/>
      <c r="J119" s="18"/>
      <c r="M119" s="18"/>
      <c r="N119" s="18"/>
      <c r="P119" s="18"/>
      <c r="Q119" s="18"/>
      <c r="S119"/>
    </row>
    <row r="120" spans="2:19">
      <c r="B120" s="64" t="s">
        <v>258</v>
      </c>
      <c r="C120" s="7">
        <v>500</v>
      </c>
      <c r="D120" s="18"/>
      <c r="E120" s="8" t="s">
        <v>16</v>
      </c>
      <c r="F120" s="11"/>
      <c r="G120" s="8"/>
      <c r="I120" s="18"/>
      <c r="J120" s="18"/>
      <c r="M120" s="18"/>
      <c r="N120" s="18"/>
      <c r="P120" s="18"/>
      <c r="Q120" s="18"/>
      <c r="S120"/>
    </row>
    <row r="121" spans="2:19">
      <c r="B121" s="64" t="s">
        <v>252</v>
      </c>
      <c r="C121" s="7">
        <v>2365</v>
      </c>
      <c r="D121" s="18"/>
      <c r="E121" s="8" t="s">
        <v>16</v>
      </c>
      <c r="F121" s="11"/>
      <c r="G121" s="8"/>
      <c r="I121" s="18"/>
      <c r="J121" s="18"/>
      <c r="M121" s="18"/>
      <c r="N121" s="18"/>
      <c r="P121" s="18"/>
      <c r="Q121" s="18"/>
      <c r="S121"/>
    </row>
    <row r="122" spans="2:19">
      <c r="B122" s="64" t="s">
        <v>253</v>
      </c>
      <c r="C122" s="7">
        <v>645</v>
      </c>
      <c r="D122" s="18"/>
      <c r="E122" s="8" t="s">
        <v>16</v>
      </c>
      <c r="F122" s="11"/>
      <c r="G122" s="8"/>
      <c r="I122" s="18"/>
      <c r="J122" s="18"/>
      <c r="M122" s="18"/>
      <c r="N122" s="18"/>
      <c r="P122" s="18"/>
      <c r="Q122" s="18"/>
      <c r="S122"/>
    </row>
    <row r="123" spans="2:19">
      <c r="B123" s="64" t="s">
        <v>256</v>
      </c>
      <c r="C123" s="7">
        <v>2365</v>
      </c>
      <c r="D123" s="18"/>
      <c r="E123" s="8" t="s">
        <v>16</v>
      </c>
      <c r="F123" s="11"/>
      <c r="G123" s="8"/>
      <c r="I123" s="18"/>
      <c r="J123" s="18"/>
      <c r="M123" s="18"/>
      <c r="N123" s="18"/>
      <c r="P123" s="18"/>
      <c r="Q123" s="18"/>
      <c r="S123"/>
    </row>
    <row r="124" spans="2:19">
      <c r="B124" s="64" t="s">
        <v>257</v>
      </c>
      <c r="C124" s="7">
        <v>645</v>
      </c>
      <c r="D124" s="18"/>
      <c r="E124" s="8" t="s">
        <v>16</v>
      </c>
      <c r="F124" s="11"/>
      <c r="G124" s="8"/>
      <c r="I124" s="18"/>
      <c r="J124" s="18"/>
      <c r="M124" s="18"/>
      <c r="N124" s="18"/>
      <c r="P124" s="18"/>
      <c r="Q124" s="18"/>
      <c r="S124"/>
    </row>
    <row r="125" spans="2:19">
      <c r="B125" s="64" t="s">
        <v>223</v>
      </c>
      <c r="C125" s="7"/>
      <c r="D125" s="18"/>
      <c r="E125" s="8"/>
      <c r="F125" s="11"/>
      <c r="G125" s="8"/>
      <c r="I125" s="18"/>
      <c r="J125" s="18"/>
      <c r="M125" s="18"/>
      <c r="N125" s="18"/>
      <c r="P125" s="18"/>
      <c r="Q125" s="18"/>
      <c r="S125"/>
    </row>
    <row r="126" spans="2:19">
      <c r="B126" s="64" t="s">
        <v>247</v>
      </c>
      <c r="C126" s="7"/>
      <c r="D126" s="18"/>
      <c r="E126" s="8"/>
      <c r="F126" s="11"/>
      <c r="G126" s="8"/>
      <c r="I126" s="18"/>
      <c r="J126" s="18"/>
      <c r="M126" s="18"/>
      <c r="N126" s="18"/>
      <c r="P126" s="18"/>
      <c r="Q126" s="18"/>
      <c r="S126"/>
    </row>
    <row r="127" spans="2:19">
      <c r="B127" s="64" t="s">
        <v>251</v>
      </c>
      <c r="C127" s="7"/>
      <c r="D127" s="18"/>
      <c r="E127" s="8"/>
      <c r="F127" s="11" t="s">
        <v>325</v>
      </c>
      <c r="G127" s="8"/>
      <c r="I127" s="18">
        <v>9.8209999999999999E-3</v>
      </c>
      <c r="J127" s="18"/>
      <c r="M127" s="18"/>
      <c r="N127" s="18"/>
      <c r="P127" s="18"/>
      <c r="Q127" s="18"/>
      <c r="S127"/>
    </row>
    <row r="128" spans="2:19">
      <c r="B128" s="64" t="s">
        <v>231</v>
      </c>
      <c r="C128" s="7"/>
      <c r="D128" s="18"/>
      <c r="E128" s="8"/>
      <c r="F128" s="11"/>
      <c r="G128" s="8"/>
      <c r="I128" s="18"/>
      <c r="J128" s="18"/>
      <c r="M128" s="18"/>
      <c r="N128" s="18"/>
      <c r="P128" s="18"/>
      <c r="Q128" s="18"/>
      <c r="S128"/>
    </row>
    <row r="129" spans="2:19">
      <c r="B129" s="79" t="s">
        <v>317</v>
      </c>
      <c r="C129" s="7">
        <v>40</v>
      </c>
      <c r="D129" s="18"/>
      <c r="E129" s="8" t="s">
        <v>40</v>
      </c>
      <c r="F129" s="11" t="s">
        <v>33</v>
      </c>
      <c r="G129" s="8"/>
      <c r="I129" s="18"/>
      <c r="J129" s="18"/>
      <c r="M129" s="18"/>
      <c r="N129" s="18"/>
      <c r="P129" s="18"/>
      <c r="Q129" s="18"/>
      <c r="S129"/>
    </row>
    <row r="130" spans="2:19">
      <c r="B130" s="79" t="s">
        <v>316</v>
      </c>
      <c r="C130" s="7">
        <v>75000</v>
      </c>
      <c r="D130" s="18"/>
      <c r="E130" s="8" t="s">
        <v>40</v>
      </c>
      <c r="F130" s="11" t="s">
        <v>318</v>
      </c>
      <c r="G130" s="8"/>
      <c r="I130" s="18"/>
      <c r="J130" s="18"/>
      <c r="M130" s="18"/>
      <c r="N130" s="18"/>
      <c r="P130" s="18"/>
      <c r="Q130" s="18"/>
      <c r="S130"/>
    </row>
    <row r="131" spans="2:19">
      <c r="B131" s="64" t="s">
        <v>282</v>
      </c>
      <c r="C131" s="7"/>
      <c r="D131" s="18"/>
      <c r="E131" s="8"/>
      <c r="F131" s="11"/>
      <c r="G131" s="8"/>
      <c r="I131" s="18"/>
      <c r="J131" s="18"/>
      <c r="M131" s="18"/>
      <c r="N131" s="18"/>
      <c r="P131" s="18"/>
      <c r="Q131" s="18"/>
      <c r="S131"/>
    </row>
    <row r="132" spans="2:19">
      <c r="B132" s="64" t="s">
        <v>283</v>
      </c>
      <c r="C132" s="7"/>
      <c r="D132" s="18"/>
      <c r="E132" s="8"/>
      <c r="F132" s="11"/>
      <c r="G132" s="8"/>
      <c r="I132" s="18"/>
      <c r="J132" s="18"/>
      <c r="M132" s="18"/>
      <c r="N132" s="18"/>
      <c r="P132" s="18"/>
      <c r="Q132" s="18"/>
      <c r="S132"/>
    </row>
    <row r="133" spans="2:19" ht="41.4">
      <c r="B133" s="64" t="s">
        <v>213</v>
      </c>
      <c r="C133" s="7">
        <v>250</v>
      </c>
      <c r="D133" s="18">
        <v>250</v>
      </c>
      <c r="E133" s="8" t="s">
        <v>16</v>
      </c>
      <c r="F133" s="11" t="s">
        <v>320</v>
      </c>
      <c r="G133" s="8"/>
      <c r="I133" s="18"/>
      <c r="J133" s="18"/>
      <c r="M133" s="18"/>
      <c r="N133" s="18"/>
      <c r="P133" s="18"/>
      <c r="Q133" s="18"/>
      <c r="S133"/>
    </row>
    <row r="134" spans="2:19">
      <c r="B134" s="64" t="s">
        <v>286</v>
      </c>
      <c r="C134" s="7"/>
      <c r="D134" s="18"/>
      <c r="E134" s="8"/>
      <c r="F134" s="11"/>
      <c r="G134" s="8"/>
      <c r="I134" s="18"/>
      <c r="J134" s="18"/>
      <c r="M134" s="18"/>
      <c r="N134" s="18"/>
      <c r="P134" s="18"/>
      <c r="Q134" s="18"/>
      <c r="S134"/>
    </row>
    <row r="135" spans="2:19">
      <c r="B135" s="64" t="s">
        <v>295</v>
      </c>
      <c r="C135" s="7"/>
      <c r="D135" s="18"/>
      <c r="E135" s="8"/>
      <c r="F135" s="11"/>
      <c r="G135" s="8"/>
      <c r="I135" s="18"/>
      <c r="J135" s="18"/>
      <c r="M135" s="18"/>
      <c r="N135" s="18"/>
      <c r="P135" s="18"/>
      <c r="Q135" s="18"/>
      <c r="S135"/>
    </row>
    <row r="136" spans="2:19">
      <c r="B136" s="64" t="s">
        <v>229</v>
      </c>
      <c r="C136" s="7"/>
      <c r="D136" s="18"/>
      <c r="E136" s="8"/>
      <c r="F136" s="11"/>
      <c r="G136" s="8"/>
      <c r="I136" s="18"/>
      <c r="J136" s="18"/>
      <c r="M136" s="18"/>
      <c r="N136" s="18"/>
      <c r="P136" s="18"/>
      <c r="Q136" s="18"/>
      <c r="S136"/>
    </row>
    <row r="137" spans="2:19">
      <c r="B137" s="64" t="s">
        <v>245</v>
      </c>
      <c r="C137" s="7"/>
      <c r="D137" s="18"/>
      <c r="E137" s="8"/>
      <c r="F137" s="11"/>
      <c r="G137" s="8"/>
      <c r="I137" s="18"/>
      <c r="J137" s="18"/>
      <c r="M137" s="18"/>
      <c r="N137" s="18"/>
      <c r="P137" s="18"/>
      <c r="Q137" s="18"/>
      <c r="S137"/>
    </row>
    <row r="138" spans="2:19">
      <c r="B138" s="64" t="s">
        <v>290</v>
      </c>
      <c r="C138" s="7">
        <v>34000</v>
      </c>
      <c r="D138" s="18"/>
      <c r="E138" s="8"/>
      <c r="F138" s="11"/>
      <c r="G138" s="8"/>
      <c r="I138" s="18"/>
      <c r="J138" s="18"/>
      <c r="M138" s="18"/>
      <c r="N138" s="18"/>
      <c r="P138" s="18"/>
      <c r="Q138" s="18"/>
      <c r="S138"/>
    </row>
    <row r="139" spans="2:19">
      <c r="B139" s="64" t="s">
        <v>228</v>
      </c>
      <c r="C139" s="7">
        <v>5000</v>
      </c>
      <c r="D139" s="18"/>
      <c r="E139" s="8"/>
      <c r="F139" s="11"/>
      <c r="G139" s="8"/>
      <c r="I139" s="18"/>
      <c r="J139" s="18"/>
      <c r="M139" s="18"/>
      <c r="N139" s="18"/>
      <c r="P139" s="18"/>
      <c r="Q139" s="18"/>
      <c r="S139"/>
    </row>
    <row r="140" spans="2:19">
      <c r="B140" s="64" t="s">
        <v>289</v>
      </c>
      <c r="C140" s="7"/>
      <c r="D140" s="18"/>
      <c r="E140" s="8"/>
      <c r="F140" s="11"/>
      <c r="G140" s="8"/>
      <c r="I140" s="18"/>
      <c r="J140" s="18"/>
      <c r="M140" s="18"/>
      <c r="N140" s="18"/>
      <c r="P140" s="18"/>
      <c r="Q140" s="18"/>
      <c r="S140"/>
    </row>
    <row r="141" spans="2:19">
      <c r="B141" s="64" t="s">
        <v>244</v>
      </c>
      <c r="C141" s="7"/>
      <c r="D141" s="18"/>
      <c r="E141" s="8"/>
      <c r="F141" s="11"/>
      <c r="G141" s="8"/>
      <c r="I141" s="18"/>
      <c r="J141" s="18"/>
      <c r="M141" s="18"/>
      <c r="N141" s="18"/>
      <c r="P141" s="18"/>
      <c r="Q141" s="18"/>
      <c r="S141"/>
    </row>
    <row r="142" spans="2:19">
      <c r="B142" s="64" t="s">
        <v>249</v>
      </c>
      <c r="C142" s="7">
        <v>5375</v>
      </c>
      <c r="D142" s="18"/>
      <c r="E142" s="8"/>
      <c r="F142" s="11"/>
      <c r="G142" s="8"/>
      <c r="I142" s="18"/>
      <c r="J142" s="18"/>
      <c r="M142" s="18"/>
      <c r="N142" s="18"/>
      <c r="P142" s="18"/>
      <c r="Q142" s="18"/>
      <c r="S142"/>
    </row>
    <row r="143" spans="2:19">
      <c r="B143" s="64" t="s">
        <v>274</v>
      </c>
      <c r="C143" s="7"/>
      <c r="D143" s="18"/>
      <c r="E143" s="8"/>
      <c r="F143" s="11"/>
      <c r="G143" s="8"/>
      <c r="I143" s="18"/>
      <c r="J143" s="18"/>
      <c r="M143" s="18"/>
      <c r="N143" s="18"/>
      <c r="P143" s="18"/>
      <c r="Q143" s="18"/>
      <c r="S143"/>
    </row>
    <row r="144" spans="2:19" ht="41.4">
      <c r="B144" s="64" t="s">
        <v>273</v>
      </c>
      <c r="C144" s="7">
        <v>1250</v>
      </c>
      <c r="D144" s="18">
        <f>C144*3</f>
        <v>3750</v>
      </c>
      <c r="E144" s="8" t="s">
        <v>16</v>
      </c>
      <c r="F144" s="11" t="s">
        <v>321</v>
      </c>
      <c r="G144" s="8"/>
      <c r="I144" s="18"/>
      <c r="J144" s="18"/>
      <c r="M144" s="18"/>
      <c r="N144" s="18"/>
      <c r="P144" s="18"/>
      <c r="Q144" s="18"/>
      <c r="S144"/>
    </row>
    <row r="145" spans="2:19">
      <c r="B145" s="64" t="s">
        <v>230</v>
      </c>
      <c r="C145" s="7"/>
      <c r="D145" s="18"/>
      <c r="E145" s="8"/>
      <c r="F145" s="11"/>
      <c r="G145" s="8"/>
      <c r="I145" s="18"/>
      <c r="J145" s="18"/>
      <c r="M145" s="18"/>
      <c r="N145" s="18"/>
      <c r="P145" s="18"/>
      <c r="Q145" s="18"/>
      <c r="S145"/>
    </row>
    <row r="146" spans="2:19">
      <c r="B146" s="64" t="s">
        <v>248</v>
      </c>
      <c r="C146" s="7"/>
      <c r="D146" s="18"/>
      <c r="E146" s="8"/>
      <c r="F146" s="11"/>
      <c r="G146" s="8"/>
      <c r="I146" s="18"/>
      <c r="J146" s="18"/>
      <c r="M146" s="18"/>
      <c r="N146" s="18"/>
      <c r="P146" s="18"/>
      <c r="Q146" s="18"/>
      <c r="S146"/>
    </row>
    <row r="147" spans="2:19">
      <c r="B147" s="64" t="s">
        <v>293</v>
      </c>
      <c r="C147" s="7"/>
      <c r="D147" s="18"/>
      <c r="E147" s="8"/>
      <c r="F147" s="11"/>
      <c r="G147" s="8"/>
      <c r="I147" s="18"/>
      <c r="J147" s="18"/>
      <c r="M147" s="18"/>
      <c r="N147" s="18"/>
      <c r="P147" s="18"/>
      <c r="Q147" s="18"/>
      <c r="S147"/>
    </row>
    <row r="148" spans="2:19">
      <c r="B148" s="64" t="s">
        <v>264</v>
      </c>
      <c r="C148" s="7">
        <v>300</v>
      </c>
      <c r="D148" s="18">
        <v>0</v>
      </c>
      <c r="E148" s="8"/>
      <c r="F148" s="11"/>
      <c r="G148" s="8"/>
      <c r="I148" s="18"/>
      <c r="J148" s="18"/>
      <c r="M148" s="18"/>
      <c r="N148" s="18"/>
      <c r="P148" s="18"/>
      <c r="Q148" s="18"/>
      <c r="S148"/>
    </row>
    <row r="149" spans="2:19">
      <c r="B149" s="64" t="s">
        <v>265</v>
      </c>
      <c r="C149" s="7">
        <v>300</v>
      </c>
      <c r="D149" s="18"/>
      <c r="E149" s="8"/>
      <c r="F149" s="11"/>
      <c r="G149" s="8"/>
      <c r="I149" s="18"/>
      <c r="J149" s="18"/>
      <c r="M149" s="18"/>
      <c r="N149" s="18"/>
      <c r="P149" s="18"/>
      <c r="Q149" s="18"/>
      <c r="S149"/>
    </row>
    <row r="150" spans="2:19">
      <c r="B150" s="64" t="s">
        <v>263</v>
      </c>
      <c r="C150" s="7">
        <v>300</v>
      </c>
      <c r="D150" s="18"/>
      <c r="E150" s="8"/>
      <c r="F150" s="11"/>
      <c r="G150" s="8"/>
      <c r="I150" s="18"/>
      <c r="J150" s="18"/>
      <c r="M150" s="18"/>
      <c r="N150" s="18"/>
      <c r="P150" s="18"/>
      <c r="Q150" s="18"/>
      <c r="S150"/>
    </row>
    <row r="151" spans="2:19">
      <c r="B151" s="64" t="s">
        <v>260</v>
      </c>
      <c r="C151" s="7"/>
      <c r="D151" s="18"/>
      <c r="E151" s="8"/>
      <c r="F151" s="11"/>
      <c r="G151" s="8"/>
      <c r="I151" s="18"/>
      <c r="J151" s="18"/>
      <c r="M151" s="18"/>
      <c r="N151" s="18"/>
      <c r="P151" s="18"/>
      <c r="Q151" s="18"/>
      <c r="S151"/>
    </row>
    <row r="152" spans="2:19">
      <c r="B152" s="64" t="s">
        <v>226</v>
      </c>
      <c r="C152" s="7"/>
      <c r="D152" s="18"/>
      <c r="E152" s="8"/>
      <c r="F152" s="11"/>
      <c r="G152" s="8"/>
      <c r="I152" s="18"/>
      <c r="J152" s="18"/>
      <c r="M152" s="18"/>
      <c r="N152" s="18"/>
      <c r="P152" s="18"/>
      <c r="Q152" s="18"/>
      <c r="S152"/>
    </row>
    <row r="153" spans="2:19">
      <c r="B153" s="64" t="s">
        <v>267</v>
      </c>
      <c r="C153" s="7"/>
      <c r="D153" s="18"/>
      <c r="E153" s="8"/>
      <c r="F153" s="11"/>
      <c r="G153" s="8"/>
      <c r="I153" s="18"/>
      <c r="J153" s="18"/>
      <c r="M153" s="18"/>
      <c r="N153" s="18"/>
      <c r="P153" s="18"/>
      <c r="Q153" s="18"/>
      <c r="S153"/>
    </row>
    <row r="154" spans="2:19">
      <c r="B154" s="64" t="s">
        <v>269</v>
      </c>
      <c r="C154" s="7"/>
      <c r="D154" s="18"/>
      <c r="E154" s="8"/>
      <c r="F154" s="11"/>
      <c r="G154" s="8"/>
      <c r="I154" s="18"/>
      <c r="J154" s="18"/>
      <c r="M154" s="18"/>
      <c r="N154" s="18"/>
      <c r="P154" s="18"/>
      <c r="Q154" s="18"/>
      <c r="S154"/>
    </row>
    <row r="155" spans="2:19">
      <c r="B155" s="64"/>
      <c r="C155" s="18"/>
      <c r="D155" s="18"/>
      <c r="E155" s="8"/>
      <c r="F155" s="11"/>
      <c r="G155" s="8"/>
      <c r="I155" s="18"/>
      <c r="J155" s="18"/>
      <c r="M155" s="18"/>
      <c r="N155" s="18"/>
      <c r="P155" s="18"/>
      <c r="Q155" s="18"/>
      <c r="S155"/>
    </row>
  </sheetData>
  <mergeCells count="14">
    <mergeCell ref="P1:Q1"/>
    <mergeCell ref="C1:D1"/>
    <mergeCell ref="B34:B35"/>
    <mergeCell ref="B6:B11"/>
    <mergeCell ref="B12:B17"/>
    <mergeCell ref="B18:B23"/>
    <mergeCell ref="B27:B29"/>
    <mergeCell ref="M1:N1"/>
    <mergeCell ref="I1:J1"/>
    <mergeCell ref="B72:B76"/>
    <mergeCell ref="B54:B59"/>
    <mergeCell ref="B42:B47"/>
    <mergeCell ref="B48:B53"/>
    <mergeCell ref="B36:B41"/>
  </mergeCells>
  <conditionalFormatting sqref="G26 G3:G24 G34:G41 G60:G155">
    <cfRule type="containsText" dxfId="65" priority="32" operator="containsText" text="Verified">
      <formula>NOT(ISERROR(SEARCH("Verified",G3)))</formula>
    </cfRule>
    <cfRule type="containsText" dxfId="64" priority="33" operator="containsText" text="Verified">
      <formula>NOT(ISERROR(SEARCH("Verified",G3)))</formula>
    </cfRule>
    <cfRule type="containsText" dxfId="63" priority="34" operator="containsText" text="Verified">
      <formula>NOT(ISERROR(SEARCH("Verified",G3)))</formula>
    </cfRule>
  </conditionalFormatting>
  <conditionalFormatting sqref="G25">
    <cfRule type="containsText" dxfId="62" priority="29" operator="containsText" text="Verified">
      <formula>NOT(ISERROR(SEARCH("Verified",G25)))</formula>
    </cfRule>
    <cfRule type="containsText" dxfId="61" priority="30" operator="containsText" text="Verified">
      <formula>NOT(ISERROR(SEARCH("Verified",G25)))</formula>
    </cfRule>
    <cfRule type="containsText" dxfId="60" priority="31" operator="containsText" text="Verified">
      <formula>NOT(ISERROR(SEARCH("Verified",G25)))</formula>
    </cfRule>
  </conditionalFormatting>
  <conditionalFormatting sqref="G27:G29">
    <cfRule type="containsText" dxfId="59" priority="20" operator="containsText" text="Verified">
      <formula>NOT(ISERROR(SEARCH("Verified",G27)))</formula>
    </cfRule>
    <cfRule type="containsText" dxfId="58" priority="21" operator="containsText" text="Verified">
      <formula>NOT(ISERROR(SEARCH("Verified",G27)))</formula>
    </cfRule>
    <cfRule type="containsText" dxfId="57" priority="22" operator="containsText" text="Verified">
      <formula>NOT(ISERROR(SEARCH("Verified",G27)))</formula>
    </cfRule>
  </conditionalFormatting>
  <conditionalFormatting sqref="G30:G33">
    <cfRule type="containsText" dxfId="56" priority="17" operator="containsText" text="Verified">
      <formula>NOT(ISERROR(SEARCH("Verified",G30)))</formula>
    </cfRule>
    <cfRule type="containsText" dxfId="55" priority="18" operator="containsText" text="Verified">
      <formula>NOT(ISERROR(SEARCH("Verified",G30)))</formula>
    </cfRule>
    <cfRule type="containsText" dxfId="54" priority="19" operator="containsText" text="Verified">
      <formula>NOT(ISERROR(SEARCH("Verified",G30)))</formula>
    </cfRule>
  </conditionalFormatting>
  <conditionalFormatting sqref="G54:G59">
    <cfRule type="containsText" dxfId="53" priority="7" operator="containsText" text="Verified">
      <formula>NOT(ISERROR(SEARCH("Verified",G54)))</formula>
    </cfRule>
    <cfRule type="containsText" dxfId="52" priority="8" operator="containsText" text="Verified">
      <formula>NOT(ISERROR(SEARCH("Verified",G54)))</formula>
    </cfRule>
    <cfRule type="containsText" dxfId="51" priority="9" operator="containsText" text="Verified">
      <formula>NOT(ISERROR(SEARCH("Verified",G54)))</formula>
    </cfRule>
  </conditionalFormatting>
  <conditionalFormatting sqref="G42:G47">
    <cfRule type="containsText" dxfId="50" priority="4" operator="containsText" text="Verified">
      <formula>NOT(ISERROR(SEARCH("Verified",G42)))</formula>
    </cfRule>
    <cfRule type="containsText" dxfId="49" priority="5" operator="containsText" text="Verified">
      <formula>NOT(ISERROR(SEARCH("Verified",G42)))</formula>
    </cfRule>
    <cfRule type="containsText" dxfId="48" priority="6" operator="containsText" text="Verified">
      <formula>NOT(ISERROR(SEARCH("Verified",G42)))</formula>
    </cfRule>
  </conditionalFormatting>
  <conditionalFormatting sqref="G48:G53">
    <cfRule type="containsText" dxfId="47" priority="1" operator="containsText" text="Verified">
      <formula>NOT(ISERROR(SEARCH("Verified",G48)))</formula>
    </cfRule>
    <cfRule type="containsText" dxfId="46" priority="2" operator="containsText" text="Verified">
      <formula>NOT(ISERROR(SEARCH("Verified",G48)))</formula>
    </cfRule>
    <cfRule type="containsText" dxfId="45" priority="3" operator="containsText" text="Verified">
      <formula>NOT(ISERROR(SEARCH("Verified",G48)))</formula>
    </cfRule>
  </conditionalFormatting>
  <pageMargins left="0.7" right="0.7" top="0.75" bottom="0.75" header="0.3" footer="0.3"/>
  <pageSetup orientation="portrait" r:id="rId1"/>
  <ignoredErrors>
    <ignoredError sqref="C53 C47 C36:C46 C48:C52 C54:C58 D36:D5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q O q V p G f U 4 S l A A A A 9 g A A A B I A H A B D b 2 5 m a W c v U G F j a 2 F n Z S 5 4 b W w g o h g A K K A U A A A A A A A A A A A A A A A A A A A A A A A A A A A A h Y 9 B D o I w F E S v Q r q n L Z g Y J J + y c G U i x s T E u G 1 K h U b 4 G F q E u 7 n w S F 5 B j K L u X M 6 b t 5 i 5 X 2 + Q D n X l X X R r T Y M J C S g n n k b V 5 A a L h H T u 6 E c k F b C V 6 i Q L 7 Y 0 y 2 n i w e U J K 5 8 4 x Y 3 3 f 0 3 5 G m 7 Z g I e c B O 2 T r n S p 1 L c l H N v 9 l 3 6 B 1 E p U m A v a v M S K k A Y / o I p p T D m y C k B n 8 C u G 4 9 9 n + Q F h 2 l e t a L T T 6 q w 2 w K Q J 7 f x A P U E s D B B Q A A g A I A K q j q 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o 6 p W K I p H u A 4 A A A A R A A A A E w A c A E Z v c m 1 1 b G F z L 1 N l Y 3 R p b 2 4 x L m 0 g o h g A K K A U A A A A A A A A A A A A A A A A A A A A A A A A A A A A K 0 5 N L s n M z 1 M I h t C G 1 g B Q S w E C L Q A U A A I A C A C q o 6 p W k Z 9 T h K U A A A D 2 A A A A E g A A A A A A A A A A A A A A A A A A A A A A Q 2 9 u Z m l n L 1 B h Y 2 t h Z 2 U u e G 1 s U E s B A i 0 A F A A C A A g A q q O q V g / K 6 a u k A A A A 6 Q A A A B M A A A A A A A A A A A A A A A A A 8 Q A A A F t D b 2 5 0 Z W 5 0 X 1 R 5 c G V z X S 5 4 b W x Q S w E C L Q A U A A I A C A C q o 6 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m v r 2 W G o F k + M w 3 Z p 7 1 5 3 N w A A A A A C A A A A A A A D Z g A A w A A A A B A A A A D 4 K z p b Q J D S 3 j M a Q 7 F 0 J 0 H G A A A A A A S A A A C g A A A A E A A A A J m f q p a f / N T y Q O N N F M q E I 2 N Q A A A A m R g L q Y z 2 c F s V 8 t d T w A O R 1 x y l C D c N D B A f c M Y g H s 0 H h Z f C + 9 C H T n G H T i j d z R d t m 0 n x a 4 1 V A S r + z J O c r U S H / P Y O o E Z s / u k t Q v G B k B k M 0 p k K 8 T Y U A A A A v C 7 W 2 u T H 0 b F / u Z r r a e F i O 3 s A h i s = < / D a t a M a s h u p > 
</file>

<file path=customXml/itemProps1.xml><?xml version="1.0" encoding="utf-8"?>
<ds:datastoreItem xmlns:ds="http://schemas.openxmlformats.org/officeDocument/2006/customXml" ds:itemID="{C321F5E7-C66A-4830-B448-D0DBD6B504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Tuna</vt:lpstr>
      <vt:lpstr>Goa</vt:lpstr>
      <vt:lpstr>Ennore</vt:lpstr>
      <vt:lpstr>Mundra</vt:lpstr>
      <vt:lpstr>Hazira</vt:lpstr>
      <vt:lpstr>Dahej</vt:lpstr>
      <vt:lpstr>Dhamra</vt:lpstr>
      <vt:lpstr>Kattupalli</vt:lpstr>
      <vt:lpstr>Krishnapattnam</vt:lpstr>
      <vt:lpstr>Dighi</vt:lpstr>
      <vt:lpstr>GPL</vt:lpstr>
      <vt:lpstr>Karaikal</vt:lpstr>
      <vt:lpstr>Vessel Dues Calculator</vt:lpstr>
      <vt:lpstr>Tariff Master</vt:lpstr>
      <vt:lpstr>AllPorts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Sanjeev Tandon</dc:creator>
  <cp:lastModifiedBy>Sanjeev Tandon</cp:lastModifiedBy>
  <dcterms:created xsi:type="dcterms:W3CDTF">2015-06-05T18:17:20Z</dcterms:created>
  <dcterms:modified xsi:type="dcterms:W3CDTF">2023-06-09T06:44:00Z</dcterms:modified>
</cp:coreProperties>
</file>