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3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workbookProtection workbookPassword="8258" lockStructure="1"/>
  <bookViews>
    <workbookView showHorizontalScroll="0" showVerticalScroll="0" showSheetTabs="0" xWindow="105" yWindow="30" windowWidth="13230" windowHeight="8400" firstSheet="1" activeTab="1" autoFilterDateGrouping="0"/>
  </bookViews>
  <sheets>
    <sheet name="Extra Formula" sheetId="6" state="hidden" r:id="rId1"/>
    <sheet name="Tariff Calc" sheetId="2" r:id="rId2"/>
    <sheet name="Addnl Services" sheetId="4" r:id="rId3"/>
    <sheet name="Mundra" sheetId="11" state="hidden" r:id="rId4"/>
    <sheet name="Hazira" sheetId="7" state="hidden" r:id="rId5"/>
    <sheet name="Dhamra" sheetId="10" state="hidden" r:id="rId6"/>
    <sheet name="Dahej" sheetId="8" state="hidden" r:id="rId7"/>
    <sheet name="Katupalli" sheetId="9" state="hidden" r:id="rId8"/>
    <sheet name="Notes" sheetId="12" state="hidden" r:id="rId9"/>
  </sheets>
  <definedNames>
    <definedName name="BuiltIn_Print_Area">"$"</definedName>
    <definedName name="BuiltIn_Print_Area___0">"$"</definedName>
  </definedNames>
  <calcPr calcId="145621"/>
</workbook>
</file>

<file path=xl/calcChain.xml><?xml version="1.0" encoding="utf-8"?>
<calcChain xmlns="http://schemas.openxmlformats.org/spreadsheetml/2006/main">
  <c r="D11" i="2" l="1"/>
  <c r="AJ17" i="2" l="1"/>
  <c r="N3" i="4" l="1"/>
  <c r="N17" i="4"/>
  <c r="F17" i="4" s="1"/>
  <c r="N16" i="4"/>
  <c r="F16" i="4" s="1"/>
  <c r="N15" i="4"/>
  <c r="F15" i="4" s="1"/>
  <c r="N14" i="4"/>
  <c r="F14" i="4" s="1"/>
  <c r="N13" i="4"/>
  <c r="N12" i="4"/>
  <c r="F12" i="4" s="1"/>
  <c r="N11" i="4"/>
  <c r="F11" i="4" s="1"/>
  <c r="N10" i="4"/>
  <c r="F10" i="4" s="1"/>
  <c r="N9" i="4"/>
  <c r="F9" i="4" s="1"/>
  <c r="N5" i="4"/>
  <c r="AD54" i="4"/>
  <c r="AD53" i="4"/>
  <c r="AD52" i="4"/>
  <c r="AD51" i="4"/>
  <c r="AD50" i="4"/>
  <c r="AD49" i="4"/>
  <c r="AD48" i="4"/>
  <c r="AD47" i="4"/>
  <c r="AD46" i="4"/>
  <c r="AD45" i="4"/>
  <c r="AD44" i="4"/>
  <c r="AD43" i="4"/>
  <c r="AD42" i="4"/>
  <c r="AD41" i="4"/>
  <c r="AD40" i="4"/>
  <c r="AD39" i="4"/>
  <c r="AD38" i="4"/>
  <c r="AD37" i="4"/>
  <c r="AD36" i="4"/>
  <c r="AD35" i="4"/>
  <c r="AD34" i="4"/>
  <c r="AD33" i="4"/>
  <c r="AD32" i="4"/>
  <c r="AD31" i="4"/>
  <c r="AD30" i="4"/>
  <c r="AD29" i="4"/>
  <c r="AD28" i="4"/>
  <c r="AD15" i="4"/>
  <c r="AC27" i="4"/>
  <c r="AD27" i="4"/>
  <c r="AD26" i="4"/>
  <c r="AD25" i="4"/>
  <c r="AD24" i="4"/>
  <c r="AD23" i="4"/>
  <c r="AD22" i="4"/>
  <c r="AD21" i="4"/>
  <c r="AD20" i="4"/>
  <c r="AD19" i="4"/>
  <c r="AD18" i="4"/>
  <c r="AD17" i="4"/>
  <c r="AD16" i="4"/>
  <c r="AD14" i="4"/>
  <c r="AD13" i="4"/>
  <c r="AD12" i="4"/>
  <c r="AD11" i="4"/>
  <c r="AD10" i="4"/>
  <c r="N6" i="4"/>
  <c r="I11" i="4" l="1"/>
  <c r="I15" i="4"/>
  <c r="I9" i="4"/>
  <c r="I17" i="4"/>
  <c r="I12" i="4"/>
  <c r="I16" i="4"/>
  <c r="I10" i="4"/>
  <c r="I14" i="4"/>
  <c r="F13" i="4"/>
  <c r="G3" i="4"/>
  <c r="AE32" i="2"/>
  <c r="AE28" i="2"/>
  <c r="G13" i="4" l="1"/>
  <c r="I13" i="4"/>
  <c r="AN40" i="2"/>
  <c r="AJ38" i="2" l="1"/>
  <c r="AC33" i="4"/>
  <c r="AC28" i="4"/>
  <c r="AJ43" i="2"/>
  <c r="AJ23" i="2"/>
  <c r="AJ22" i="2"/>
  <c r="AJ21" i="2"/>
  <c r="AM20" i="2"/>
  <c r="AJ20" i="2"/>
  <c r="AM18" i="2" l="1"/>
  <c r="AJ14" i="2"/>
  <c r="AM14" i="2"/>
  <c r="AM13" i="2"/>
  <c r="AJ13" i="2"/>
  <c r="AM12" i="2"/>
  <c r="AJ12" i="2"/>
  <c r="AM11" i="2"/>
  <c r="AJ11" i="2"/>
  <c r="AM10" i="2"/>
  <c r="AJ10" i="2"/>
  <c r="AJ29" i="2"/>
  <c r="AC36" i="4" l="1"/>
  <c r="AC35" i="4"/>
  <c r="AC34" i="4"/>
  <c r="AC32" i="4"/>
  <c r="AC31" i="4"/>
  <c r="AC30" i="4"/>
  <c r="AC29" i="4"/>
  <c r="AE23" i="2"/>
  <c r="AE10" i="2"/>
  <c r="AC54" i="4"/>
  <c r="AC53" i="4"/>
  <c r="AC52" i="4"/>
  <c r="AC51" i="4"/>
  <c r="AC50" i="4"/>
  <c r="AC49" i="4"/>
  <c r="AC48" i="4"/>
  <c r="AC47" i="4"/>
  <c r="AC46" i="4"/>
  <c r="Y48" i="4"/>
  <c r="Y47" i="4"/>
  <c r="Y46" i="4"/>
  <c r="AN45" i="2"/>
  <c r="AJ45" i="2"/>
  <c r="AJ40" i="2"/>
  <c r="AM32" i="2"/>
  <c r="AF32" i="2" s="1"/>
  <c r="AJ32" i="2"/>
  <c r="AM30" i="2"/>
  <c r="AJ30" i="2"/>
  <c r="AE30" i="2" s="1"/>
  <c r="AM29" i="2"/>
  <c r="D4" i="9"/>
  <c r="D3" i="9"/>
  <c r="AJ28" i="2" s="1"/>
  <c r="AC26" i="4"/>
  <c r="AC25" i="4"/>
  <c r="AC24" i="4"/>
  <c r="AC23" i="4"/>
  <c r="AC22" i="4"/>
  <c r="AC21" i="4"/>
  <c r="AC20" i="4"/>
  <c r="AC19" i="4"/>
  <c r="AJ42" i="2"/>
  <c r="AN37" i="2"/>
  <c r="AJ37" i="2"/>
  <c r="AJ19" i="2"/>
  <c r="AE19" i="2" s="1"/>
  <c r="AJ44" i="2"/>
  <c r="AJ39" i="2"/>
  <c r="AJ31" i="2"/>
  <c r="AC45" i="4"/>
  <c r="AC44" i="4"/>
  <c r="AC43" i="4"/>
  <c r="AC42" i="4"/>
  <c r="AC41" i="4"/>
  <c r="AC40" i="4"/>
  <c r="AC39" i="4"/>
  <c r="AC38" i="4"/>
  <c r="AC37" i="4"/>
  <c r="Y45" i="4"/>
  <c r="Y44" i="4"/>
  <c r="Y43" i="4"/>
  <c r="Y40" i="4"/>
  <c r="Y33" i="4"/>
  <c r="Y32" i="4"/>
  <c r="Y31" i="4"/>
  <c r="Y30" i="4"/>
  <c r="Y29" i="4"/>
  <c r="Y28" i="4"/>
  <c r="Y25" i="4"/>
  <c r="Y19" i="4"/>
  <c r="Y20" i="4"/>
  <c r="Y21" i="4"/>
  <c r="Y22" i="4"/>
  <c r="Y23" i="4"/>
  <c r="Y24" i="4"/>
  <c r="Y26" i="4"/>
  <c r="Y27" i="4"/>
  <c r="Y34" i="4"/>
  <c r="Y35" i="4"/>
  <c r="Y36" i="4"/>
  <c r="Y37" i="4"/>
  <c r="Y38" i="4"/>
  <c r="Y39" i="4"/>
  <c r="Y41" i="4"/>
  <c r="Y42" i="4"/>
  <c r="Y49" i="4"/>
  <c r="Y50" i="4"/>
  <c r="Y51" i="4"/>
  <c r="Y52" i="4"/>
  <c r="Y53" i="4"/>
  <c r="Y54" i="4"/>
  <c r="V10" i="2"/>
  <c r="V12" i="2" s="1"/>
  <c r="AM24" i="2"/>
  <c r="AJ24" i="2"/>
  <c r="AM16" i="2"/>
  <c r="Y18" i="4"/>
  <c r="Y17" i="4"/>
  <c r="Y16" i="4"/>
  <c r="V13" i="2" l="1"/>
  <c r="V11" i="2"/>
  <c r="AE12" i="2" l="1"/>
  <c r="AE13" i="2"/>
  <c r="AE14" i="2"/>
  <c r="AE15" i="2"/>
  <c r="AE20" i="2"/>
  <c r="AE21" i="2"/>
  <c r="AE22" i="2"/>
  <c r="AE24" i="2"/>
  <c r="AE29" i="2"/>
  <c r="AE31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Y10" i="4" l="1"/>
  <c r="Y11" i="4"/>
  <c r="Y12" i="4"/>
  <c r="Y13" i="4"/>
  <c r="Y14" i="4"/>
  <c r="Y15" i="4"/>
  <c r="AH46" i="2" l="1"/>
  <c r="AC46" i="2" s="1"/>
  <c r="AH45" i="2"/>
  <c r="AC45" i="2" s="1"/>
  <c r="AH44" i="2"/>
  <c r="AC44" i="2" s="1"/>
  <c r="AH43" i="2"/>
  <c r="AC43" i="2" s="1"/>
  <c r="AH42" i="2"/>
  <c r="AC42" i="2" s="1"/>
  <c r="AH41" i="2"/>
  <c r="AC41" i="2" s="1"/>
  <c r="AH40" i="2"/>
  <c r="AC40" i="2" s="1"/>
  <c r="AH39" i="2"/>
  <c r="AC39" i="2" s="1"/>
  <c r="AH38" i="2"/>
  <c r="AC38" i="2" s="1"/>
  <c r="AH37" i="2"/>
  <c r="AC37" i="2" s="1"/>
  <c r="AF46" i="2"/>
  <c r="AF45" i="2"/>
  <c r="AF44" i="2"/>
  <c r="AF43" i="2"/>
  <c r="AF42" i="2"/>
  <c r="AF41" i="2"/>
  <c r="AF40" i="2"/>
  <c r="AF39" i="2"/>
  <c r="AF38" i="2"/>
  <c r="AF37" i="2"/>
  <c r="F17" i="2"/>
  <c r="AH32" i="2" l="1"/>
  <c r="AC32" i="2" s="1"/>
  <c r="AH36" i="2"/>
  <c r="AC36" i="2" s="1"/>
  <c r="AF36" i="2"/>
  <c r="AH31" i="2"/>
  <c r="AC31" i="2" s="1"/>
  <c r="AF31" i="2"/>
  <c r="AH19" i="2" l="1"/>
  <c r="AC19" i="2" s="1"/>
  <c r="AF19" i="2"/>
  <c r="AF15" i="2"/>
  <c r="AF14" i="2"/>
  <c r="AF13" i="2"/>
  <c r="AF30" i="2"/>
  <c r="AF29" i="2"/>
  <c r="AF28" i="2"/>
  <c r="AF18" i="2"/>
  <c r="AF35" i="2"/>
  <c r="AF34" i="2"/>
  <c r="AF33" i="2"/>
  <c r="AF23" i="2"/>
  <c r="AF22" i="2"/>
  <c r="AF21" i="2"/>
  <c r="AF20" i="2"/>
  <c r="AF27" i="2"/>
  <c r="J3" i="2" l="1"/>
  <c r="Y11" i="2"/>
  <c r="J8" i="2"/>
  <c r="I8" i="4" s="1"/>
  <c r="AI42" i="2" l="1"/>
  <c r="AI46" i="2"/>
  <c r="AI38" i="2"/>
  <c r="AI43" i="2"/>
  <c r="AI41" i="2"/>
  <c r="AI37" i="2"/>
  <c r="AI39" i="2"/>
  <c r="AI44" i="2"/>
  <c r="AI40" i="2"/>
  <c r="AI45" i="2"/>
  <c r="AI31" i="2"/>
  <c r="AI36" i="2"/>
  <c r="AI32" i="2"/>
  <c r="AI19" i="2"/>
  <c r="AH23" i="2" l="1"/>
  <c r="AC23" i="2" s="1"/>
  <c r="AH35" i="2"/>
  <c r="AC35" i="2" s="1"/>
  <c r="AH34" i="2"/>
  <c r="AC34" i="2" s="1"/>
  <c r="AH33" i="2"/>
  <c r="AC33" i="2" s="1"/>
  <c r="AH30" i="2"/>
  <c r="AC30" i="2" s="1"/>
  <c r="AH29" i="2"/>
  <c r="AC29" i="2" s="1"/>
  <c r="AH28" i="2"/>
  <c r="AC28" i="2" s="1"/>
  <c r="AH27" i="2"/>
  <c r="AC27" i="2" s="1"/>
  <c r="AF24" i="2"/>
  <c r="AH26" i="2"/>
  <c r="AM26" i="2" s="1"/>
  <c r="AF26" i="2" s="1"/>
  <c r="AH25" i="2"/>
  <c r="AM25" i="2" s="1"/>
  <c r="AF25" i="2" s="1"/>
  <c r="AH24" i="2"/>
  <c r="AC24" i="2" s="1"/>
  <c r="AH22" i="2"/>
  <c r="AC22" i="2" s="1"/>
  <c r="AH21" i="2"/>
  <c r="AC21" i="2" s="1"/>
  <c r="AH20" i="2"/>
  <c r="AC20" i="2" s="1"/>
  <c r="AC26" i="2" l="1"/>
  <c r="AJ26" i="2"/>
  <c r="AC25" i="2"/>
  <c r="AJ25" i="2"/>
  <c r="AE25" i="2" s="1"/>
  <c r="AH10" i="2"/>
  <c r="AC10" i="2" s="1"/>
  <c r="AH11" i="2"/>
  <c r="AC11" i="2" s="1"/>
  <c r="AH12" i="2"/>
  <c r="AC12" i="2" s="1"/>
  <c r="AH13" i="2"/>
  <c r="AC13" i="2" s="1"/>
  <c r="AH14" i="2"/>
  <c r="AC14" i="2" s="1"/>
  <c r="AH15" i="2"/>
  <c r="AH18" i="2"/>
  <c r="AJ18" i="2" s="1"/>
  <c r="AH17" i="2"/>
  <c r="AH16" i="2"/>
  <c r="AM17" i="2" l="1"/>
  <c r="AF17" i="2" s="1"/>
  <c r="AE17" i="2"/>
  <c r="AE26" i="2"/>
  <c r="AJ27" i="2"/>
  <c r="AE27" i="2" s="1"/>
  <c r="AJ16" i="2"/>
  <c r="AE16" i="2" s="1"/>
  <c r="AC18" i="2"/>
  <c r="AE18" i="2"/>
  <c r="AC17" i="2"/>
  <c r="AC15" i="2"/>
  <c r="AC16" i="2"/>
  <c r="H12" i="2" l="1"/>
  <c r="H14" i="2"/>
  <c r="H13" i="2"/>
  <c r="F13" i="2"/>
  <c r="J13" i="2" s="1"/>
  <c r="F14" i="2"/>
  <c r="J14" i="2" s="1"/>
  <c r="F12" i="2"/>
  <c r="AF16" i="2"/>
  <c r="J12" i="2" l="1"/>
  <c r="AN38" i="2"/>
  <c r="AF12" i="2"/>
  <c r="AF11" i="2"/>
  <c r="AF10" i="2"/>
  <c r="AE11" i="2"/>
  <c r="I19" i="4" l="1"/>
  <c r="I20" i="4" s="1"/>
  <c r="J16" i="2" l="1"/>
  <c r="I21" i="4"/>
  <c r="F11" i="2" l="1"/>
  <c r="F9" i="2"/>
  <c r="H10" i="2"/>
  <c r="F10" i="2"/>
  <c r="H11" i="2"/>
  <c r="H9" i="2"/>
  <c r="J10" i="2" l="1"/>
  <c r="J9" i="2"/>
  <c r="J11" i="2"/>
  <c r="AI34" i="2"/>
  <c r="AI29" i="2"/>
  <c r="AI20" i="2"/>
  <c r="AI23" i="2"/>
  <c r="AI35" i="2"/>
  <c r="AI28" i="2"/>
  <c r="AI27" i="2"/>
  <c r="AI25" i="2"/>
  <c r="AI26" i="2"/>
  <c r="AI22" i="2"/>
  <c r="AI21" i="2"/>
  <c r="AI24" i="2"/>
  <c r="AI33" i="2"/>
  <c r="AI30" i="2"/>
  <c r="AI16" i="2"/>
  <c r="AI17" i="2"/>
  <c r="AI18" i="2"/>
  <c r="AI10" i="2" l="1"/>
  <c r="AI11" i="2"/>
  <c r="AI12" i="2"/>
  <c r="AI13" i="2"/>
  <c r="AI14" i="2"/>
  <c r="AI15" i="2"/>
  <c r="Y18" i="2"/>
  <c r="Y17" i="2" l="1"/>
  <c r="Y16" i="2"/>
  <c r="J18" i="2" l="1"/>
  <c r="J19" i="2" s="1"/>
  <c r="J20" i="2" l="1"/>
</calcChain>
</file>

<file path=xl/sharedStrings.xml><?xml version="1.0" encoding="utf-8"?>
<sst xmlns="http://schemas.openxmlformats.org/spreadsheetml/2006/main" count="747" uniqueCount="217">
  <si>
    <t>Vessel Type</t>
  </si>
  <si>
    <t>Rate</t>
  </si>
  <si>
    <t>Services</t>
  </si>
  <si>
    <t>Amt</t>
  </si>
  <si>
    <t xml:space="preserve">Curr Min Clause </t>
  </si>
  <si>
    <t>Curr Rate</t>
  </si>
  <si>
    <t>Port Tariff</t>
  </si>
  <si>
    <t>Min Clause</t>
  </si>
  <si>
    <t>USD</t>
  </si>
  <si>
    <t>Anchorage (in hours)</t>
  </si>
  <si>
    <t>Adani Ports :</t>
  </si>
  <si>
    <t>Unit</t>
  </si>
  <si>
    <t>Value</t>
  </si>
  <si>
    <t>Curr</t>
  </si>
  <si>
    <t>Ports</t>
  </si>
  <si>
    <t>Tug for Transportation (in hours)</t>
  </si>
  <si>
    <t>lacs</t>
  </si>
  <si>
    <t>ones</t>
  </si>
  <si>
    <t>million</t>
  </si>
  <si>
    <t>crore</t>
  </si>
  <si>
    <t>billion</t>
  </si>
  <si>
    <r>
      <t xml:space="preserve">Anchorage </t>
    </r>
    <r>
      <rPr>
        <b/>
        <i/>
        <sz val="10"/>
        <color rgb="FFFF0000"/>
        <rFont val="Adani Regular"/>
      </rPr>
      <t>(in hours)</t>
    </r>
  </si>
  <si>
    <r>
      <t xml:space="preserve">Tug for Transportation </t>
    </r>
    <r>
      <rPr>
        <b/>
        <i/>
        <sz val="10"/>
        <color rgb="FFFF0000"/>
        <rFont val="Adani Regular"/>
      </rPr>
      <t>(in hours)</t>
    </r>
  </si>
  <si>
    <t>Port&amp;Tariff</t>
  </si>
  <si>
    <t>Unit
Qty</t>
  </si>
  <si>
    <t>Service Description</t>
  </si>
  <si>
    <t xml:space="preserve">Sub Total Amount </t>
  </si>
  <si>
    <t>Port Dues (per GRT)</t>
  </si>
  <si>
    <t>Pilotage (per GRT)</t>
  </si>
  <si>
    <t>Berth Hire (per GRT / Hour)</t>
  </si>
  <si>
    <r>
      <t xml:space="preserve">Additional Tug for pilotage </t>
    </r>
    <r>
      <rPr>
        <b/>
        <i/>
        <sz val="10"/>
        <color rgb="FFFF0000"/>
        <rFont val="Adani Regular"/>
      </rPr>
      <t>(in hours)</t>
    </r>
  </si>
  <si>
    <t>Additional Tug for pilotage (in hours)</t>
  </si>
  <si>
    <t>Vessel GRT :</t>
  </si>
  <si>
    <t>Table4</t>
  </si>
  <si>
    <t>Garbage Collection at Berth</t>
  </si>
  <si>
    <t>Time / Qty</t>
  </si>
  <si>
    <t>Tariff
(in USD)</t>
  </si>
  <si>
    <t>Minimum Amt
 (in USD)</t>
  </si>
  <si>
    <t>Gangway (per Calender Day)</t>
  </si>
  <si>
    <t>Misc Charges</t>
  </si>
  <si>
    <t>UOM</t>
  </si>
  <si>
    <t>Amt (USD)</t>
  </si>
  <si>
    <t>per CD</t>
  </si>
  <si>
    <t>per MT</t>
  </si>
  <si>
    <t>Min 4 hrs (slab)</t>
  </si>
  <si>
    <t>Per Collection</t>
  </si>
  <si>
    <t/>
  </si>
  <si>
    <t>per Hour</t>
  </si>
  <si>
    <t>Hot work permission (for hours)</t>
  </si>
  <si>
    <t>Hydra (for hours)</t>
  </si>
  <si>
    <t>Pipeline Charges (per MT)</t>
  </si>
  <si>
    <t>per GT</t>
  </si>
  <si>
    <t>Mundra</t>
  </si>
  <si>
    <t>Remarks</t>
  </si>
  <si>
    <t>Dhamra</t>
  </si>
  <si>
    <t>Port Dues (per GT)</t>
  </si>
  <si>
    <t>Pilotage (per GT)</t>
  </si>
  <si>
    <t>INR</t>
  </si>
  <si>
    <t>Hazira</t>
  </si>
  <si>
    <t>Pilotage</t>
  </si>
  <si>
    <t>Dahej</t>
  </si>
  <si>
    <t>Goa</t>
  </si>
  <si>
    <t>Port</t>
  </si>
  <si>
    <t>Vessel Type :</t>
  </si>
  <si>
    <t>Katupalli</t>
  </si>
  <si>
    <t>Mooring Charges</t>
  </si>
  <si>
    <t>Port Desc</t>
  </si>
  <si>
    <t>Actual Tariff Rmrks</t>
  </si>
  <si>
    <t>Berth Stay (Hours) :</t>
  </si>
  <si>
    <t>USD 0.06 per GRT per 8 hour* except for Tanker
less than 25000 GT</t>
  </si>
  <si>
    <t>INR Per GT per Hr (revised as per WPI)</t>
  </si>
  <si>
    <t>Tariff Curr</t>
  </si>
  <si>
    <t>="Tariff
(in "&amp;VLOOKUP(INDEX(Table4,N3,1),Table4,1,0)&amp;")"</t>
  </si>
  <si>
    <t>INPUT</t>
  </si>
  <si>
    <t>OUTPUT</t>
  </si>
  <si>
    <t>="Minimum Amt
 (in "&amp;VLOOKUP(INDEX(Table4,N3,1),Table4,1,0)&amp;")"</t>
  </si>
  <si>
    <t>F8</t>
  </si>
  <si>
    <t>H8</t>
  </si>
  <si>
    <t>CELL ADDRESS</t>
  </si>
  <si>
    <t>Total Service Amt
(in INR)</t>
  </si>
  <si>
    <t>="Total Service Amt
(in INR)"</t>
  </si>
  <si>
    <t>J8</t>
  </si>
  <si>
    <t>per GT per Day</t>
  </si>
  <si>
    <t>HR</t>
  </si>
  <si>
    <t>DAY</t>
  </si>
  <si>
    <t>Table2</t>
  </si>
  <si>
    <t>per GT per HR</t>
  </si>
  <si>
    <t>Per GT / Day pro rata</t>
  </si>
  <si>
    <t>NA</t>
  </si>
  <si>
    <t>per GT per Hour</t>
  </si>
  <si>
    <t>For maximum 4 hours and USD 438.60 for every subsequent hour thereafter</t>
  </si>
  <si>
    <t>Every half-an-hour or part thereof</t>
  </si>
  <si>
    <t>For maximum 5 hours and $ 440 for every subsequent hour thereafter</t>
  </si>
  <si>
    <t>2nd Slab</t>
  </si>
  <si>
    <t>Additional Marine Services</t>
  </si>
  <si>
    <t>Port &amp; Service</t>
  </si>
  <si>
    <t>61Port Dues (per GRT)</t>
  </si>
  <si>
    <t>61Pilotage (per GRT)</t>
  </si>
  <si>
    <t>61Berth Hire (per GRT / Hour)</t>
  </si>
  <si>
    <t>61Anchorage (in hours)</t>
  </si>
  <si>
    <t>61Tug for Transportation (in hours)</t>
  </si>
  <si>
    <t>61Additional Tug for pilotage (in hours)</t>
  </si>
  <si>
    <t>Fresh water at Berth</t>
  </si>
  <si>
    <t>Shore Mooring Winch Charges (per Day)</t>
  </si>
  <si>
    <t>Mooring Ropes (per rope/per calander day)</t>
  </si>
  <si>
    <t>Shore Crane Charges (per 2hrs. slab)</t>
  </si>
  <si>
    <t>No Service</t>
  </si>
  <si>
    <t>Min 2 hrs &amp; 1 hr thereafter</t>
  </si>
  <si>
    <t>Service</t>
  </si>
  <si>
    <t>Port Dues &amp; Pilotage Charges for LNGC</t>
  </si>
  <si>
    <t>Tariff (in USD)</t>
  </si>
  <si>
    <t>Port tariff for Non LNG Terminal</t>
  </si>
  <si>
    <t>Min (USD)</t>
  </si>
  <si>
    <t>per 30 days</t>
  </si>
  <si>
    <t>Upto 3,000 GRT</t>
  </si>
  <si>
    <t>3,001 – 15,000 GRT</t>
  </si>
  <si>
    <t>15,001 – 60,000 GRT</t>
  </si>
  <si>
    <t>Pilotage (Other Vessels)</t>
  </si>
  <si>
    <t>upto 15,000 GRT</t>
  </si>
  <si>
    <t>15,001 – 25000 GRT</t>
  </si>
  <si>
    <t>Above 25000 GT</t>
  </si>
  <si>
    <t>Any GT</t>
  </si>
  <si>
    <t>for Tanker Vessels upto 25000 GT</t>
  </si>
  <si>
    <t>except for Tanker vessels less than 25000 Gt</t>
  </si>
  <si>
    <t>Pilotage (Container Vessels)</t>
  </si>
  <si>
    <t>Pilotage (Tanker Vessels)</t>
  </si>
  <si>
    <t>Per calendar day</t>
  </si>
  <si>
    <t>per 4 hour slab</t>
  </si>
  <si>
    <t>Minimum USD 900</t>
  </si>
  <si>
    <t>GRT less than 35000 MT (Applicable to Non –coal, Non –Project vessels).</t>
  </si>
  <si>
    <t>Min per day</t>
  </si>
  <si>
    <t>Berth Hire</t>
  </si>
  <si>
    <t>per Calender Day</t>
  </si>
  <si>
    <t>per collection per Trip</t>
  </si>
  <si>
    <t>Per 2 hour Slab or Part Thereof(Shore crane will be provided as per availability)</t>
  </si>
  <si>
    <t>per Rope per Calender day</t>
  </si>
  <si>
    <t>Compulsory for 1st 24 hours after berthing for the vessels having LOA&gt;200m and / or draft &gt; 12.0m</t>
  </si>
  <si>
    <t>per GT per hour</t>
  </si>
  <si>
    <t>per hour per tug</t>
  </si>
  <si>
    <t>For maximum 5 hours and $ 440 for every subsequent hour thereafter.</t>
  </si>
  <si>
    <t>per hour</t>
  </si>
  <si>
    <t>per collection per trip</t>
  </si>
  <si>
    <t>Rs. Per MT</t>
  </si>
  <si>
    <t>Rs. per hour</t>
  </si>
  <si>
    <t>Upto 3000 GT</t>
  </si>
  <si>
    <t>Lump Sum</t>
  </si>
  <si>
    <t>3001 to 10000 GT</t>
  </si>
  <si>
    <t>10000 to 16000 GT</t>
  </si>
  <si>
    <t>16000 to 30000 GT</t>
  </si>
  <si>
    <t>30000 to 60000 GT</t>
  </si>
  <si>
    <t>Above 60000 GT</t>
  </si>
  <si>
    <t>Pilotage &amp; Towage (Foreign Vesssels) 
in USD</t>
  </si>
  <si>
    <t>Pilotage &amp; Towage (Coastal Vesssels) 
in INR</t>
  </si>
  <si>
    <t>51 to 3000 GT</t>
  </si>
  <si>
    <t>Upto 50 GT</t>
  </si>
  <si>
    <t>Berth Hire (in usd)</t>
  </si>
  <si>
    <t>Foreign going, per GT per Hour</t>
  </si>
  <si>
    <t>Berth Hire (in INR)</t>
  </si>
  <si>
    <t>For maximum 4 hours and $ 400 for every subsequent hour thereafter</t>
  </si>
  <si>
    <t>per Calender day</t>
  </si>
  <si>
    <t>INR per Hour</t>
  </si>
  <si>
    <t>Per collection per trip</t>
  </si>
  <si>
    <r>
      <rPr>
        <b/>
        <i/>
        <sz val="10"/>
        <rFont val="Adani Regular"/>
      </rPr>
      <t>INR</t>
    </r>
    <r>
      <rPr>
        <sz val="10"/>
        <rFont val="Adani Regular"/>
      </rPr>
      <t xml:space="preserve"> for Sailing Vessels + 10% surcharge</t>
    </r>
  </si>
  <si>
    <r>
      <rPr>
        <b/>
        <i/>
        <sz val="10"/>
        <rFont val="Adani Regular"/>
      </rPr>
      <t>INR</t>
    </r>
    <r>
      <rPr>
        <sz val="10"/>
        <rFont val="Adani Regular"/>
      </rPr>
      <t xml:space="preserve"> for Normal Vessels + 10% surcharge</t>
    </r>
  </si>
  <si>
    <r>
      <rPr>
        <b/>
        <i/>
        <sz val="10"/>
        <rFont val="Adani Regular"/>
      </rPr>
      <t xml:space="preserve">INR </t>
    </r>
    <r>
      <rPr>
        <sz val="10"/>
        <rFont val="Adani Regular"/>
      </rPr>
      <t>Coastal, per GT per Hour</t>
    </r>
  </si>
  <si>
    <r>
      <rPr>
        <b/>
        <i/>
        <sz val="10"/>
        <rFont val="Adani Regular"/>
      </rPr>
      <t>INR</t>
    </r>
    <r>
      <rPr>
        <sz val="10"/>
        <rFont val="Adani Regular"/>
      </rPr>
      <t xml:space="preserve"> per GT, upto 500 GT</t>
    </r>
  </si>
  <si>
    <r>
      <rPr>
        <b/>
        <i/>
        <sz val="10"/>
        <rFont val="Adani Regular"/>
      </rPr>
      <t>INR</t>
    </r>
    <r>
      <rPr>
        <sz val="10"/>
        <rFont val="Adani Regular"/>
      </rPr>
      <t xml:space="preserve"> per GT, above 500 GT</t>
    </r>
  </si>
  <si>
    <t>CURR</t>
  </si>
  <si>
    <t>10001 to 16000 GT</t>
  </si>
  <si>
    <t>16001 to 30000 GT</t>
  </si>
  <si>
    <t>30001 to 60000 GT</t>
  </si>
  <si>
    <t>Status</t>
  </si>
  <si>
    <t>Verified</t>
  </si>
  <si>
    <t>Skip</t>
  </si>
  <si>
    <t>Pilotage (for less than 10000 GT)</t>
  </si>
  <si>
    <t>Pilotage (for 10000 GT and above)</t>
  </si>
  <si>
    <t>Min - upto 3000 Gt</t>
  </si>
  <si>
    <t>Min for -3001 to 15000 GT</t>
  </si>
  <si>
    <t>Min for -15001 GT and above</t>
  </si>
  <si>
    <t>Berth Hire (GT per Hour)</t>
  </si>
  <si>
    <t>min for per day / 24 hours</t>
  </si>
  <si>
    <t>per calender day</t>
  </si>
  <si>
    <t>per collection / per trip</t>
  </si>
  <si>
    <t>Berth Hire &amp; Pilot Attendance (per GT per 8 hrs)</t>
  </si>
  <si>
    <t>No minimum</t>
  </si>
  <si>
    <t>Applicable to all vessels of 60000 GT and above.</t>
  </si>
  <si>
    <t>Applicable to all vessels below 60000 GT.</t>
  </si>
  <si>
    <t>per 30 mins slab</t>
  </si>
  <si>
    <t>Per Rope/ Per Calendar Day</t>
  </si>
  <si>
    <t>w.e.f : April, 2017</t>
  </si>
  <si>
    <t>Fresh water at Berth (per MT)</t>
  </si>
  <si>
    <t>Shore Mooring Winch (per Day)</t>
  </si>
  <si>
    <t>Shore Crane (per 2hrs. slab)</t>
  </si>
  <si>
    <t>Mooring Ropes (per Rope / Calendar day)</t>
  </si>
  <si>
    <t>Gangway (per Calendar Day)</t>
  </si>
  <si>
    <t>Kattupalli</t>
  </si>
  <si>
    <t>- For USD exchange rate refer State Bank of India's (SBI ) TT Selling Rate.</t>
  </si>
  <si>
    <t>Tariff Database : Hazira</t>
  </si>
  <si>
    <t>Tariff Database : Mundra</t>
  </si>
  <si>
    <t>Tariff Database : Dhamra</t>
  </si>
  <si>
    <t>Tariff Database : Dahej</t>
  </si>
  <si>
    <t>Tariff Database : Kattupali</t>
  </si>
  <si>
    <t>- The charges are approximate and for reference only.  For detailed charges refer APSEZ Berthing Policy &amp; Tariff Structure.</t>
  </si>
  <si>
    <t>do not delete this column</t>
  </si>
  <si>
    <t>2 HOURS SLAB</t>
  </si>
  <si>
    <t>Ver</t>
  </si>
  <si>
    <t>Version Info</t>
  </si>
  <si>
    <t>v1</t>
  </si>
  <si>
    <t>Tariff calc designed for 5 APSEZ Ports. Mundra, Hazira, Dhamra, Dahej, Kattupalli</t>
  </si>
  <si>
    <t>v2</t>
  </si>
  <si>
    <t>Mundra Port Tariff revision (only for Pilotage, Shifting, Warping &amp; Cold Move)
Trade Notice No -052017 -Revision of VRC 30th March 17</t>
  </si>
  <si>
    <t>Ver / Upload Date</t>
  </si>
  <si>
    <t>Berth Hire (per GRT / 8 hrs)</t>
  </si>
  <si>
    <t>GST @ 18%</t>
  </si>
  <si>
    <t>Gross Amount (exclusive taxes*)</t>
  </si>
  <si>
    <r>
      <t xml:space="preserve">Step-1: </t>
    </r>
    <r>
      <rPr>
        <sz val="8"/>
        <rFont val="Arial"/>
        <family val="2"/>
      </rPr>
      <t>Select required service from left,</t>
    </r>
    <r>
      <rPr>
        <b/>
        <sz val="8"/>
        <rFont val="Arial"/>
        <family val="2"/>
      </rPr>
      <t xml:space="preserve"> Step-2: </t>
    </r>
    <r>
      <rPr>
        <sz val="8"/>
        <rFont val="Arial"/>
        <family val="2"/>
      </rPr>
      <t>Enter duration / Quantity</t>
    </r>
  </si>
  <si>
    <t>*Taxes are Port / State specific and applicble in addition to gross amount.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</si>
</sst>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 * #,##0.00_ ;_ * \-#,##0.00_ ;_ * \-??_ ;_ @_ "/>
    <numFmt numFmtId="165" formatCode="0.0"/>
    <numFmt numFmtId="166" formatCode="_(* #,##0.000_);_(* \(#,##0.000\);_(* &quot;-&quot;??_);_(@_)"/>
    <numFmt numFmtId="167" formatCode="_(* #,##0.0000_);_(* \(#,##0.0000\);_(* &quot;-&quot;??_);_(@_)"/>
    <numFmt numFmtId="168" formatCode="_(* #,##0_);_(* \(#,##0\);_(* &quot;-&quot;??_);_(@_)"/>
    <numFmt numFmtId="169" formatCode="_(* #,##0.000000_);_(* \(#,##0.000000\);_(* &quot;-&quot;??_);_(@_)"/>
    <numFmt numFmtId="170" formatCode="_(* #,##0.00000_);_(* \(#,##0.00000\);_(* &quot;-&quot;??_);_(@_)"/>
  </numFmts>
  <fonts count="48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u/>
      <sz val="11"/>
      <color theme="10"/>
      <name val="Calibri"/>
      <family val="2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name val="Helv"/>
      <family val="2"/>
    </font>
    <font>
      <sz val="12"/>
      <name val="宋体"/>
      <charset val="134"/>
    </font>
    <font>
      <sz val="10"/>
      <name val="Adani Regular"/>
    </font>
    <font>
      <b/>
      <sz val="10"/>
      <name val="Adani Regular"/>
    </font>
    <font>
      <sz val="10"/>
      <color theme="3" tint="0.79998168889431442"/>
      <name val="Adani Regular"/>
    </font>
    <font>
      <b/>
      <i/>
      <sz val="10"/>
      <name val="Adani Regular"/>
    </font>
    <font>
      <b/>
      <i/>
      <sz val="10"/>
      <color rgb="FFFF0000"/>
      <name val="Adani Regular"/>
    </font>
    <font>
      <u/>
      <sz val="11"/>
      <color theme="10"/>
      <name val="Arial"/>
      <family val="2"/>
    </font>
    <font>
      <u/>
      <sz val="8"/>
      <color theme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8"/>
      <color theme="10"/>
      <name val="Arial"/>
      <family val="2"/>
    </font>
    <font>
      <b/>
      <sz val="9"/>
      <name val="Adani Regular"/>
    </font>
    <font>
      <b/>
      <u/>
      <sz val="8"/>
      <color rgb="FF002060"/>
      <name val="Arial"/>
      <family val="2"/>
    </font>
    <font>
      <b/>
      <u/>
      <sz val="11"/>
      <color rgb="FF002060"/>
      <name val="Arial"/>
      <family val="2"/>
    </font>
    <font>
      <sz val="10"/>
      <color theme="8" tint="0.59999389629810485"/>
      <name val="Adani Regular"/>
    </font>
    <font>
      <b/>
      <sz val="10"/>
      <color rgb="FF002060"/>
      <name val="Adani Regular"/>
    </font>
    <font>
      <b/>
      <sz val="16"/>
      <name val="Adani Regular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4"/>
      <name val="Adani Regular"/>
    </font>
    <font>
      <i/>
      <sz val="8"/>
      <name val="Adani Regular"/>
    </font>
    <font>
      <sz val="10"/>
      <color theme="1"/>
      <name val="Adani Regular"/>
    </font>
    <font>
      <b/>
      <sz val="10"/>
      <color theme="3" tint="0.79998168889431442"/>
      <name val="Adani Regular"/>
    </font>
  </fonts>
  <fills count="4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theme="4" tint="0.39994506668294322"/>
      </left>
      <right/>
      <top style="medium">
        <color theme="4" tint="0.39994506668294322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3" tint="0.39994506668294322"/>
      </left>
      <right style="thin">
        <color theme="3" tint="0.39994506668294322"/>
      </right>
      <top style="thin">
        <color theme="3" tint="0.39994506668294322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theme="4" tint="0.39994506668294322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</borders>
  <cellStyleXfs count="247">
    <xf numFmtId="0" fontId="0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7" fillId="3" borderId="0" applyNumberFormat="0" applyBorder="0" applyAlignment="0" applyProtection="0"/>
    <xf numFmtId="0" fontId="11" fillId="6" borderId="4" applyNumberFormat="0" applyAlignment="0" applyProtection="0"/>
    <xf numFmtId="0" fontId="13" fillId="7" borderId="7" applyNumberFormat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9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21" fillId="0" borderId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0" fillId="6" borderId="5" applyNumberFormat="0" applyAlignment="0" applyProtection="0"/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2" fillId="0" borderId="0">
      <alignment vertical="top"/>
    </xf>
    <xf numFmtId="0" fontId="2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4" fillId="0" borderId="0" applyNumberFormat="0" applyFill="0" applyBorder="0" applyAlignment="0" applyProtection="0"/>
    <xf numFmtId="164" fontId="23" fillId="0" borderId="0" applyFill="0" applyBorder="0" applyAlignment="0" applyProtection="0"/>
    <xf numFmtId="0" fontId="24" fillId="0" borderId="0"/>
    <xf numFmtId="0" fontId="30" fillId="0" borderId="0" applyNumberFormat="0" applyFill="0" applyBorder="0" applyAlignment="0" applyProtection="0">
      <alignment vertical="top"/>
      <protection locked="0"/>
    </xf>
  </cellStyleXfs>
  <cellXfs count="205">
    <xf numFmtId="0" fontId="0" fillId="0" borderId="0" xfId="0"/>
    <xf numFmtId="0" fontId="19" fillId="0" borderId="0" xfId="0" applyFont="1"/>
    <xf numFmtId="0" fontId="0" fillId="0" borderId="0" xfId="0" applyAlignment="1">
      <alignment horizontal="left" indent="1"/>
    </xf>
    <xf numFmtId="0" fontId="18" fillId="0" borderId="0" xfId="0" applyFont="1" applyAlignment="1">
      <alignment horizontal="left" indent="1"/>
    </xf>
    <xf numFmtId="0" fontId="0" fillId="0" borderId="0" xfId="0" applyFont="1"/>
    <xf numFmtId="0" fontId="25" fillId="33" borderId="13" xfId="0" applyFont="1" applyFill="1" applyBorder="1"/>
    <xf numFmtId="0" fontId="25" fillId="33" borderId="0" xfId="0" applyFont="1" applyFill="1" applyBorder="1"/>
    <xf numFmtId="0" fontId="25" fillId="33" borderId="0" xfId="0" applyFont="1" applyFill="1" applyBorder="1" applyAlignment="1">
      <alignment horizontal="right"/>
    </xf>
    <xf numFmtId="0" fontId="26" fillId="33" borderId="0" xfId="0" applyFont="1" applyFill="1" applyBorder="1" applyAlignment="1">
      <alignment horizontal="right"/>
    </xf>
    <xf numFmtId="0" fontId="25" fillId="33" borderId="15" xfId="0" applyFont="1" applyFill="1" applyBorder="1"/>
    <xf numFmtId="0" fontId="27" fillId="33" borderId="0" xfId="0" applyFont="1" applyFill="1" applyBorder="1" applyAlignment="1">
      <alignment horizontal="right"/>
    </xf>
    <xf numFmtId="0" fontId="28" fillId="33" borderId="0" xfId="0" applyFont="1" applyFill="1" applyBorder="1"/>
    <xf numFmtId="0" fontId="27" fillId="33" borderId="13" xfId="0" applyFont="1" applyFill="1" applyBorder="1"/>
    <xf numFmtId="0" fontId="26" fillId="34" borderId="16" xfId="0" applyFont="1" applyFill="1" applyBorder="1" applyAlignment="1">
      <alignment horizontal="center" vertical="center" wrapText="1"/>
    </xf>
    <xf numFmtId="0" fontId="27" fillId="33" borderId="13" xfId="0" applyFont="1" applyFill="1" applyBorder="1" applyProtection="1">
      <protection locked="0"/>
    </xf>
    <xf numFmtId="0" fontId="25" fillId="33" borderId="16" xfId="0" applyFont="1" applyFill="1" applyBorder="1" applyAlignment="1">
      <alignment horizontal="center"/>
    </xf>
    <xf numFmtId="0" fontId="25" fillId="33" borderId="16" xfId="0" applyFont="1" applyFill="1" applyBorder="1" applyAlignment="1">
      <alignment horizontal="left"/>
    </xf>
    <xf numFmtId="43" fontId="25" fillId="33" borderId="16" xfId="1" applyFont="1" applyFill="1" applyBorder="1" applyAlignment="1" applyProtection="1">
      <alignment horizontal="right"/>
      <protection hidden="1"/>
    </xf>
    <xf numFmtId="0" fontId="25" fillId="33" borderId="17" xfId="0" applyFont="1" applyFill="1" applyBorder="1"/>
    <xf numFmtId="43" fontId="25" fillId="33" borderId="18" xfId="1" applyFont="1" applyFill="1" applyBorder="1" applyProtection="1">
      <protection hidden="1"/>
    </xf>
    <xf numFmtId="0" fontId="25" fillId="33" borderId="19" xfId="0" applyFont="1" applyFill="1" applyBorder="1" applyAlignment="1">
      <alignment horizontal="left"/>
    </xf>
    <xf numFmtId="2" fontId="25" fillId="0" borderId="14" xfId="0" applyNumberFormat="1" applyFont="1" applyFill="1" applyBorder="1" applyAlignment="1" applyProtection="1">
      <alignment horizontal="center"/>
      <protection locked="0"/>
    </xf>
    <xf numFmtId="0" fontId="25" fillId="33" borderId="16" xfId="0" applyFont="1" applyFill="1" applyBorder="1" applyAlignment="1">
      <alignment horizontal="left" indent="1"/>
    </xf>
    <xf numFmtId="0" fontId="25" fillId="33" borderId="20" xfId="0" applyFont="1" applyFill="1" applyBorder="1" applyAlignment="1">
      <alignment horizontal="left" indent="1"/>
    </xf>
    <xf numFmtId="43" fontId="25" fillId="33" borderId="18" xfId="1" applyFont="1" applyFill="1" applyBorder="1"/>
    <xf numFmtId="0" fontId="26" fillId="33" borderId="16" xfId="0" applyFont="1" applyFill="1" applyBorder="1"/>
    <xf numFmtId="43" fontId="26" fillId="33" borderId="18" xfId="1" applyFont="1" applyFill="1" applyBorder="1"/>
    <xf numFmtId="0" fontId="25" fillId="33" borderId="16" xfId="0" applyFont="1" applyFill="1" applyBorder="1"/>
    <xf numFmtId="0" fontId="25" fillId="35" borderId="16" xfId="0" applyFont="1" applyFill="1" applyBorder="1"/>
    <xf numFmtId="0" fontId="26" fillId="35" borderId="16" xfId="0" applyFont="1" applyFill="1" applyBorder="1"/>
    <xf numFmtId="0" fontId="25" fillId="35" borderId="17" xfId="0" applyFont="1" applyFill="1" applyBorder="1"/>
    <xf numFmtId="43" fontId="26" fillId="35" borderId="18" xfId="1" applyFont="1" applyFill="1" applyBorder="1"/>
    <xf numFmtId="0" fontId="25" fillId="34" borderId="21" xfId="0" applyFont="1" applyFill="1" applyBorder="1"/>
    <xf numFmtId="0" fontId="25" fillId="34" borderId="22" xfId="0" applyFont="1" applyFill="1" applyBorder="1"/>
    <xf numFmtId="0" fontId="25" fillId="34" borderId="23" xfId="0" applyFont="1" applyFill="1" applyBorder="1"/>
    <xf numFmtId="43" fontId="26" fillId="35" borderId="16" xfId="1" applyNumberFormat="1" applyFont="1" applyFill="1" applyBorder="1" applyProtection="1">
      <protection hidden="1"/>
    </xf>
    <xf numFmtId="0" fontId="25" fillId="34" borderId="10" xfId="0" applyFont="1" applyFill="1" applyBorder="1"/>
    <xf numFmtId="0" fontId="25" fillId="34" borderId="11" xfId="0" applyFont="1" applyFill="1" applyBorder="1"/>
    <xf numFmtId="0" fontId="25" fillId="34" borderId="12" xfId="0" applyFont="1" applyFill="1" applyBorder="1"/>
    <xf numFmtId="43" fontId="25" fillId="33" borderId="16" xfId="1" applyNumberFormat="1" applyFont="1" applyFill="1" applyBorder="1" applyProtection="1">
      <protection hidden="1"/>
    </xf>
    <xf numFmtId="43" fontId="25" fillId="33" borderId="16" xfId="1" applyNumberFormat="1" applyFont="1" applyFill="1" applyBorder="1"/>
    <xf numFmtId="0" fontId="25" fillId="33" borderId="20" xfId="0" applyFont="1" applyFill="1" applyBorder="1" applyAlignment="1">
      <alignment horizontal="center"/>
    </xf>
    <xf numFmtId="0" fontId="25" fillId="33" borderId="20" xfId="0" applyFont="1" applyFill="1" applyBorder="1" applyAlignment="1">
      <alignment horizontal="left"/>
    </xf>
    <xf numFmtId="0" fontId="32" fillId="33" borderId="0" xfId="0" applyFont="1" applyFill="1" applyBorder="1"/>
    <xf numFmtId="0" fontId="31" fillId="33" borderId="0" xfId="246" applyFont="1" applyFill="1" applyBorder="1" applyAlignment="1" applyProtection="1"/>
    <xf numFmtId="0" fontId="26" fillId="34" borderId="17" xfId="0" applyFont="1" applyFill="1" applyBorder="1" applyAlignment="1">
      <alignment horizontal="center" vertical="center" wrapText="1"/>
    </xf>
    <xf numFmtId="0" fontId="26" fillId="34" borderId="18" xfId="0" applyFont="1" applyFill="1" applyBorder="1" applyAlignment="1">
      <alignment horizontal="center" vertical="center" wrapText="1"/>
    </xf>
    <xf numFmtId="0" fontId="32" fillId="33" borderId="0" xfId="0" quotePrefix="1" applyFont="1" applyFill="1" applyBorder="1" applyAlignment="1">
      <alignment horizontal="left" indent="1"/>
    </xf>
    <xf numFmtId="43" fontId="25" fillId="33" borderId="16" xfId="1" applyNumberFormat="1" applyFont="1" applyFill="1" applyBorder="1" applyAlignment="1" applyProtection="1">
      <alignment horizontal="right"/>
      <protection hidden="1"/>
    </xf>
    <xf numFmtId="166" fontId="25" fillId="33" borderId="16" xfId="1" applyNumberFormat="1" applyFont="1" applyFill="1" applyBorder="1" applyAlignment="1" applyProtection="1">
      <alignment horizontal="right"/>
      <protection hidden="1"/>
    </xf>
    <xf numFmtId="0" fontId="0" fillId="0" borderId="0" xfId="0" applyAlignment="1">
      <alignment horizontal="center"/>
    </xf>
    <xf numFmtId="2" fontId="0" fillId="0" borderId="0" xfId="0" applyNumberFormat="1"/>
    <xf numFmtId="43" fontId="0" fillId="33" borderId="16" xfId="1" applyFont="1" applyFill="1" applyBorder="1" applyAlignment="1">
      <alignment horizontal="right"/>
    </xf>
    <xf numFmtId="0" fontId="37" fillId="33" borderId="17" xfId="246" applyFont="1" applyFill="1" applyBorder="1" applyAlignment="1" applyProtection="1"/>
    <xf numFmtId="0" fontId="25" fillId="0" borderId="0" xfId="0" applyFont="1"/>
    <xf numFmtId="43" fontId="25" fillId="0" borderId="0" xfId="1" applyFont="1"/>
    <xf numFmtId="43" fontId="25" fillId="33" borderId="27" xfId="1" applyFont="1" applyFill="1" applyBorder="1" applyProtection="1">
      <protection hidden="1"/>
    </xf>
    <xf numFmtId="0" fontId="36" fillId="34" borderId="11" xfId="246" applyFont="1" applyFill="1" applyBorder="1" applyAlignment="1" applyProtection="1"/>
    <xf numFmtId="0" fontId="40" fillId="33" borderId="0" xfId="0" applyFont="1" applyFill="1" applyBorder="1"/>
    <xf numFmtId="43" fontId="39" fillId="33" borderId="16" xfId="1" applyNumberFormat="1" applyFont="1" applyFill="1" applyBorder="1" applyAlignment="1" applyProtection="1">
      <alignment horizontal="center" vertical="center"/>
      <protection hidden="1"/>
    </xf>
    <xf numFmtId="0" fontId="34" fillId="33" borderId="0" xfId="246" applyFont="1" applyFill="1" applyBorder="1" applyAlignment="1" applyProtection="1"/>
    <xf numFmtId="0" fontId="26" fillId="33" borderId="0" xfId="0" applyFont="1" applyFill="1" applyBorder="1"/>
    <xf numFmtId="0" fontId="0" fillId="0" borderId="25" xfId="0" applyNumberFormat="1" applyFont="1" applyBorder="1" applyAlignment="1" applyProtection="1">
      <alignment horizontal="center"/>
      <protection locked="0"/>
    </xf>
    <xf numFmtId="0" fontId="25" fillId="33" borderId="0" xfId="0" applyFont="1" applyFill="1" applyBorder="1" applyProtection="1">
      <protection hidden="1"/>
    </xf>
    <xf numFmtId="0" fontId="26" fillId="33" borderId="16" xfId="0" applyFont="1" applyFill="1" applyBorder="1" applyProtection="1">
      <protection hidden="1"/>
    </xf>
    <xf numFmtId="43" fontId="26" fillId="33" borderId="18" xfId="1" applyFont="1" applyFill="1" applyBorder="1" applyProtection="1">
      <protection hidden="1"/>
    </xf>
    <xf numFmtId="0" fontId="25" fillId="33" borderId="16" xfId="0" applyFont="1" applyFill="1" applyBorder="1" applyProtection="1">
      <protection hidden="1"/>
    </xf>
    <xf numFmtId="0" fontId="26" fillId="35" borderId="16" xfId="0" applyFont="1" applyFill="1" applyBorder="1" applyProtection="1">
      <protection hidden="1"/>
    </xf>
    <xf numFmtId="43" fontId="26" fillId="35" borderId="18" xfId="1" applyFont="1" applyFill="1" applyBorder="1" applyProtection="1">
      <protection hidden="1"/>
    </xf>
    <xf numFmtId="0" fontId="25" fillId="33" borderId="28" xfId="0" applyFont="1" applyFill="1" applyBorder="1" applyProtection="1">
      <protection hidden="1"/>
    </xf>
    <xf numFmtId="0" fontId="26" fillId="34" borderId="22" xfId="0" applyFont="1" applyFill="1" applyBorder="1" applyAlignment="1">
      <alignment horizontal="right"/>
    </xf>
    <xf numFmtId="0" fontId="0" fillId="37" borderId="0" xfId="0" applyFont="1" applyFill="1"/>
    <xf numFmtId="43" fontId="0" fillId="0" borderId="0" xfId="0" applyNumberFormat="1"/>
    <xf numFmtId="43" fontId="0" fillId="0" borderId="0" xfId="1" applyFont="1"/>
    <xf numFmtId="0" fontId="0" fillId="0" borderId="16" xfId="0" applyBorder="1"/>
    <xf numFmtId="0" fontId="0" fillId="0" borderId="16" xfId="0" quotePrefix="1" applyBorder="1" applyAlignment="1">
      <alignment vertical="center"/>
    </xf>
    <xf numFmtId="0" fontId="19" fillId="38" borderId="16" xfId="0" applyFont="1" applyFill="1" applyBorder="1" applyAlignment="1">
      <alignment horizontal="center" vertical="center"/>
    </xf>
    <xf numFmtId="0" fontId="0" fillId="0" borderId="16" xfId="0" quotePrefix="1" applyBorder="1" applyAlignment="1">
      <alignment wrapText="1"/>
    </xf>
    <xf numFmtId="0" fontId="26" fillId="0" borderId="16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0" borderId="0" xfId="0" applyFont="1" applyProtection="1">
      <protection locked="0"/>
    </xf>
    <xf numFmtId="0" fontId="35" fillId="36" borderId="24" xfId="0" applyFont="1" applyFill="1" applyBorder="1" applyAlignment="1" applyProtection="1">
      <alignment horizontal="center"/>
      <protection locked="0"/>
    </xf>
    <xf numFmtId="168" fontId="0" fillId="0" borderId="0" xfId="1" applyNumberFormat="1" applyFont="1"/>
    <xf numFmtId="0" fontId="25" fillId="0" borderId="0" xfId="0" applyFont="1" applyAlignment="1">
      <alignment horizontal="center"/>
    </xf>
    <xf numFmtId="0" fontId="25" fillId="0" borderId="0" xfId="0" applyNumberFormat="1" applyFont="1"/>
    <xf numFmtId="0" fontId="25" fillId="0" borderId="0" xfId="0" applyFont="1" applyAlignment="1">
      <alignment horizontal="left"/>
    </xf>
    <xf numFmtId="0" fontId="43" fillId="39" borderId="29" xfId="0" applyNumberFormat="1" applyFont="1" applyFill="1" applyBorder="1"/>
    <xf numFmtId="0" fontId="43" fillId="39" borderId="33" xfId="0" applyNumberFormat="1" applyFont="1" applyFill="1" applyBorder="1"/>
    <xf numFmtId="0" fontId="43" fillId="40" borderId="29" xfId="0" applyNumberFormat="1" applyFont="1" applyFill="1" applyBorder="1"/>
    <xf numFmtId="0" fontId="43" fillId="40" borderId="33" xfId="0" applyNumberFormat="1" applyFont="1" applyFill="1" applyBorder="1"/>
    <xf numFmtId="0" fontId="43" fillId="39" borderId="33" xfId="0" applyFont="1" applyFill="1" applyBorder="1"/>
    <xf numFmtId="0" fontId="43" fillId="40" borderId="33" xfId="0" applyFont="1" applyFill="1" applyBorder="1"/>
    <xf numFmtId="43" fontId="43" fillId="39" borderId="33" xfId="1" applyNumberFormat="1" applyFont="1" applyFill="1" applyBorder="1"/>
    <xf numFmtId="43" fontId="43" fillId="40" borderId="33" xfId="1" applyNumberFormat="1" applyFont="1" applyFill="1" applyBorder="1"/>
    <xf numFmtId="0" fontId="43" fillId="39" borderId="33" xfId="0" applyFont="1" applyFill="1" applyBorder="1" applyAlignment="1">
      <alignment horizontal="center"/>
    </xf>
    <xf numFmtId="0" fontId="43" fillId="40" borderId="33" xfId="0" applyFont="1" applyFill="1" applyBorder="1" applyAlignment="1">
      <alignment horizontal="center"/>
    </xf>
    <xf numFmtId="0" fontId="43" fillId="40" borderId="31" xfId="0" applyNumberFormat="1" applyFont="1" applyFill="1" applyBorder="1"/>
    <xf numFmtId="0" fontId="43" fillId="40" borderId="34" xfId="0" applyNumberFormat="1" applyFont="1" applyFill="1" applyBorder="1"/>
    <xf numFmtId="0" fontId="43" fillId="40" borderId="34" xfId="0" applyFont="1" applyFill="1" applyBorder="1"/>
    <xf numFmtId="43" fontId="43" fillId="40" borderId="34" xfId="1" applyNumberFormat="1" applyFont="1" applyFill="1" applyBorder="1"/>
    <xf numFmtId="0" fontId="43" fillId="40" borderId="34" xfId="0" applyFont="1" applyFill="1" applyBorder="1" applyAlignment="1">
      <alignment horizontal="center"/>
    </xf>
    <xf numFmtId="0" fontId="43" fillId="39" borderId="30" xfId="0" applyNumberFormat="1" applyFont="1" applyFill="1" applyBorder="1"/>
    <xf numFmtId="0" fontId="43" fillId="40" borderId="30" xfId="0" applyNumberFormat="1" applyFont="1" applyFill="1" applyBorder="1"/>
    <xf numFmtId="0" fontId="43" fillId="40" borderId="32" xfId="0" applyNumberFormat="1" applyFont="1" applyFill="1" applyBorder="1"/>
    <xf numFmtId="43" fontId="25" fillId="0" borderId="0" xfId="0" applyNumberFormat="1" applyFont="1"/>
    <xf numFmtId="2" fontId="25" fillId="0" borderId="0" xfId="0" applyNumberFormat="1" applyFont="1"/>
    <xf numFmtId="167" fontId="25" fillId="33" borderId="16" xfId="1" applyNumberFormat="1" applyFont="1" applyFill="1" applyBorder="1" applyAlignment="1" applyProtection="1">
      <alignment horizontal="right"/>
      <protection hidden="1"/>
    </xf>
    <xf numFmtId="43" fontId="25" fillId="33" borderId="16" xfId="1" applyNumberFormat="1" applyFont="1" applyFill="1" applyBorder="1" applyAlignment="1" applyProtection="1">
      <alignment horizontal="center"/>
      <protection hidden="1"/>
    </xf>
    <xf numFmtId="43" fontId="25" fillId="0" borderId="0" xfId="1" applyFont="1" applyAlignment="1">
      <alignment horizontal="center"/>
    </xf>
    <xf numFmtId="167" fontId="25" fillId="33" borderId="16" xfId="1" applyNumberFormat="1" applyFont="1" applyFill="1" applyBorder="1" applyAlignment="1" applyProtection="1">
      <alignment horizontal="center"/>
      <protection hidden="1"/>
    </xf>
    <xf numFmtId="0" fontId="26" fillId="38" borderId="16" xfId="0" applyFont="1" applyFill="1" applyBorder="1" applyAlignment="1">
      <alignment horizontal="center" vertical="center"/>
    </xf>
    <xf numFmtId="0" fontId="25" fillId="0" borderId="16" xfId="0" applyFont="1" applyBorder="1"/>
    <xf numFmtId="0" fontId="25" fillId="0" borderId="16" xfId="0" applyFont="1" applyBorder="1" applyAlignment="1">
      <alignment horizontal="center"/>
    </xf>
    <xf numFmtId="0" fontId="25" fillId="0" borderId="16" xfId="0" applyFont="1" applyBorder="1" applyAlignment="1">
      <alignment horizontal="left"/>
    </xf>
    <xf numFmtId="0" fontId="25" fillId="0" borderId="16" xfId="0" applyFont="1" applyBorder="1" applyAlignment="1">
      <alignment horizontal="left" vertical="center" wrapText="1"/>
    </xf>
    <xf numFmtId="0" fontId="25" fillId="0" borderId="16" xfId="0" applyFont="1" applyBorder="1" applyAlignment="1">
      <alignment horizontal="left" wrapText="1"/>
    </xf>
    <xf numFmtId="0" fontId="25" fillId="0" borderId="16" xfId="0" applyFont="1" applyBorder="1" applyAlignment="1">
      <alignment wrapText="1"/>
    </xf>
    <xf numFmtId="0" fontId="25" fillId="0" borderId="20" xfId="0" applyFont="1" applyBorder="1" applyAlignment="1">
      <alignment horizontal="left" vertical="center" wrapText="1"/>
    </xf>
    <xf numFmtId="0" fontId="25" fillId="0" borderId="19" xfId="0" applyFont="1" applyBorder="1" applyAlignment="1">
      <alignment vertical="center" wrapText="1"/>
    </xf>
    <xf numFmtId="170" fontId="25" fillId="33" borderId="16" xfId="1" applyNumberFormat="1" applyFont="1" applyFill="1" applyBorder="1" applyAlignment="1" applyProtection="1">
      <alignment horizontal="right"/>
      <protection hidden="1"/>
    </xf>
    <xf numFmtId="0" fontId="25" fillId="0" borderId="16" xfId="0" applyFont="1" applyFill="1" applyBorder="1" applyAlignment="1">
      <alignment horizontal="center"/>
    </xf>
    <xf numFmtId="0" fontId="25" fillId="0" borderId="16" xfId="0" applyFont="1" applyFill="1" applyBorder="1"/>
    <xf numFmtId="0" fontId="25" fillId="0" borderId="16" xfId="0" applyFont="1" applyFill="1" applyBorder="1" applyAlignment="1">
      <alignment wrapText="1"/>
    </xf>
    <xf numFmtId="43" fontId="0" fillId="0" borderId="0" xfId="1" applyNumberFormat="1" applyFont="1"/>
    <xf numFmtId="168" fontId="25" fillId="0" borderId="0" xfId="1" applyNumberFormat="1" applyFont="1"/>
    <xf numFmtId="0" fontId="45" fillId="33" borderId="0" xfId="0" applyFont="1" applyFill="1" applyBorder="1" applyAlignment="1">
      <alignment horizontal="right"/>
    </xf>
    <xf numFmtId="0" fontId="27" fillId="33" borderId="15" xfId="0" applyFont="1" applyFill="1" applyBorder="1" applyAlignment="1">
      <alignment horizontal="center"/>
    </xf>
    <xf numFmtId="0" fontId="26" fillId="34" borderId="18" xfId="0" applyFont="1" applyFill="1" applyBorder="1" applyAlignment="1">
      <alignment horizontal="center" vertical="center" wrapText="1"/>
    </xf>
    <xf numFmtId="43" fontId="25" fillId="0" borderId="26" xfId="1" applyFont="1" applyFill="1" applyBorder="1" applyAlignment="1" applyProtection="1">
      <alignment horizontal="center"/>
      <protection locked="0"/>
    </xf>
    <xf numFmtId="43" fontId="25" fillId="0" borderId="14" xfId="1" applyFont="1" applyFill="1" applyBorder="1" applyAlignment="1" applyProtection="1">
      <alignment horizontal="center"/>
      <protection locked="0"/>
    </xf>
    <xf numFmtId="0" fontId="38" fillId="33" borderId="20" xfId="0" applyFont="1" applyFill="1" applyBorder="1" applyAlignment="1" applyProtection="1">
      <alignment horizontal="center"/>
      <protection locked="0"/>
    </xf>
    <xf numFmtId="0" fontId="38" fillId="33" borderId="20" xfId="0" applyFont="1" applyFill="1" applyBorder="1" applyAlignment="1">
      <alignment horizontal="center"/>
    </xf>
    <xf numFmtId="0" fontId="38" fillId="33" borderId="16" xfId="0" applyFont="1" applyFill="1" applyBorder="1" applyAlignment="1">
      <alignment horizontal="center"/>
    </xf>
    <xf numFmtId="168" fontId="25" fillId="33" borderId="16" xfId="1" applyNumberFormat="1" applyFont="1" applyFill="1" applyBorder="1" applyProtection="1">
      <protection hidden="1"/>
    </xf>
    <xf numFmtId="168" fontId="26" fillId="35" borderId="16" xfId="1" applyNumberFormat="1" applyFont="1" applyFill="1" applyBorder="1" applyProtection="1">
      <protection hidden="1"/>
    </xf>
    <xf numFmtId="0" fontId="27" fillId="33" borderId="13" xfId="0" applyFont="1" applyFill="1" applyBorder="1" applyAlignment="1">
      <alignment horizontal="center"/>
    </xf>
    <xf numFmtId="0" fontId="32" fillId="33" borderId="0" xfId="0" quotePrefix="1" applyFont="1" applyFill="1" applyBorder="1"/>
    <xf numFmtId="0" fontId="26" fillId="0" borderId="0" xfId="0" applyFont="1"/>
    <xf numFmtId="0" fontId="26" fillId="42" borderId="16" xfId="0" applyFont="1" applyFill="1" applyBorder="1" applyAlignment="1">
      <alignment horizontal="center" vertical="center"/>
    </xf>
    <xf numFmtId="0" fontId="46" fillId="0" borderId="35" xfId="0" applyFont="1" applyFill="1" applyBorder="1"/>
    <xf numFmtId="0" fontId="25" fillId="0" borderId="16" xfId="0" applyFont="1" applyFill="1" applyBorder="1" applyAlignment="1">
      <alignment vertical="center"/>
    </xf>
    <xf numFmtId="0" fontId="25" fillId="0" borderId="0" xfId="0" applyFont="1" applyFill="1"/>
    <xf numFmtId="0" fontId="25" fillId="33" borderId="0" xfId="0" applyFont="1" applyFill="1" applyBorder="1" applyAlignment="1" applyProtection="1">
      <alignment horizontal="right"/>
      <protection locked="0"/>
    </xf>
    <xf numFmtId="0" fontId="25" fillId="33" borderId="0" xfId="0" applyFont="1" applyFill="1" applyBorder="1" applyAlignment="1" applyProtection="1">
      <alignment horizontal="center"/>
      <protection locked="0"/>
    </xf>
    <xf numFmtId="0" fontId="0" fillId="0" borderId="0" xfId="0" applyNumberFormat="1" applyFill="1" applyProtection="1">
      <protection locked="0"/>
    </xf>
    <xf numFmtId="0" fontId="0" fillId="0" borderId="0" xfId="0" applyFill="1" applyProtection="1">
      <protection locked="0"/>
    </xf>
    <xf numFmtId="43" fontId="0" fillId="0" borderId="0" xfId="1" applyFont="1" applyFill="1" applyProtection="1">
      <protection locked="0"/>
    </xf>
    <xf numFmtId="0" fontId="0" fillId="0" borderId="0" xfId="0" applyFont="1" applyFill="1" applyAlignment="1" applyProtection="1">
      <alignment horizontal="center"/>
      <protection locked="0"/>
    </xf>
    <xf numFmtId="0" fontId="0" fillId="0" borderId="0" xfId="0" applyFont="1" applyFill="1" applyProtection="1">
      <protection locked="0"/>
    </xf>
    <xf numFmtId="0" fontId="0" fillId="0" borderId="0" xfId="0" applyNumberFormat="1" applyFill="1" applyBorder="1" applyProtection="1">
      <protection locked="0"/>
    </xf>
    <xf numFmtId="0" fontId="0" fillId="0" borderId="0" xfId="0" applyFont="1" applyFill="1" applyBorder="1" applyProtection="1">
      <protection locked="0"/>
    </xf>
    <xf numFmtId="0" fontId="0" fillId="0" borderId="0" xfId="0" applyNumberFormat="1" applyFill="1" applyAlignment="1" applyProtection="1">
      <protection locked="0"/>
    </xf>
    <xf numFmtId="0" fontId="42" fillId="0" borderId="0" xfId="0" applyFont="1" applyFill="1" applyProtection="1">
      <protection locked="0"/>
    </xf>
    <xf numFmtId="0" fontId="0" fillId="0" borderId="0" xfId="0" applyFill="1" applyAlignment="1" applyProtection="1">
      <alignment horizontal="center"/>
      <protection locked="0"/>
    </xf>
    <xf numFmtId="0" fontId="0" fillId="0" borderId="0" xfId="0" applyNumberFormat="1" applyFont="1" applyFill="1" applyProtection="1">
      <protection locked="0"/>
    </xf>
    <xf numFmtId="0" fontId="41" fillId="0" borderId="0" xfId="0" applyFont="1" applyFill="1" applyProtection="1">
      <protection locked="0"/>
    </xf>
    <xf numFmtId="0" fontId="0" fillId="0" borderId="0" xfId="0" applyNumberFormat="1" applyFill="1" applyAlignment="1" applyProtection="1">
      <alignment horizontal="center"/>
      <protection locked="0"/>
    </xf>
    <xf numFmtId="3" fontId="0" fillId="0" borderId="0" xfId="0" applyNumberFormat="1" applyFill="1" applyProtection="1">
      <protection locked="0"/>
    </xf>
    <xf numFmtId="0" fontId="0" fillId="41" borderId="0" xfId="0" applyNumberFormat="1" applyFill="1" applyProtection="1">
      <protection locked="0"/>
    </xf>
    <xf numFmtId="169" fontId="0" fillId="0" borderId="0" xfId="1" applyNumberFormat="1" applyFont="1" applyFill="1" applyProtection="1">
      <protection locked="0"/>
    </xf>
    <xf numFmtId="0" fontId="0" fillId="0" borderId="0" xfId="0" applyNumberFormat="1" applyFill="1" applyAlignment="1" applyProtection="1">
      <alignment wrapText="1"/>
      <protection locked="0"/>
    </xf>
    <xf numFmtId="0" fontId="25" fillId="33" borderId="0" xfId="0" applyFont="1" applyFill="1" applyBorder="1" applyAlignment="1" applyProtection="1">
      <alignment horizontal="left"/>
      <protection locked="0"/>
    </xf>
    <xf numFmtId="0" fontId="25" fillId="0" borderId="16" xfId="0" applyFont="1" applyFill="1" applyBorder="1" applyAlignment="1" applyProtection="1">
      <alignment horizontal="center"/>
      <protection locked="0"/>
    </xf>
    <xf numFmtId="0" fontId="25" fillId="0" borderId="16" xfId="0" applyFont="1" applyFill="1" applyBorder="1" applyAlignment="1" applyProtection="1">
      <alignment horizontal="center" vertical="center" wrapText="1"/>
      <protection locked="0"/>
    </xf>
    <xf numFmtId="0" fontId="25" fillId="0" borderId="16" xfId="0" applyFont="1" applyBorder="1" applyAlignment="1" applyProtection="1">
      <alignment horizontal="center"/>
      <protection locked="0"/>
    </xf>
    <xf numFmtId="0" fontId="25" fillId="0" borderId="16" xfId="0" applyFont="1" applyBorder="1" applyProtection="1">
      <protection locked="0"/>
    </xf>
    <xf numFmtId="0" fontId="25" fillId="0" borderId="16" xfId="0" applyFont="1" applyBorder="1" applyAlignment="1" applyProtection="1">
      <alignment horizontal="center" vertical="center"/>
      <protection locked="0"/>
    </xf>
    <xf numFmtId="0" fontId="26" fillId="34" borderId="18" xfId="0" applyFont="1" applyFill="1" applyBorder="1" applyAlignment="1">
      <alignment horizontal="center" vertical="center" wrapText="1"/>
    </xf>
    <xf numFmtId="0" fontId="27" fillId="41" borderId="0" xfId="0" applyFont="1" applyFill="1" applyBorder="1" applyAlignment="1">
      <alignment horizontal="center"/>
    </xf>
    <xf numFmtId="0" fontId="0" fillId="43" borderId="0" xfId="0" applyFill="1"/>
    <xf numFmtId="0" fontId="0" fillId="44" borderId="0" xfId="0" applyFill="1" applyAlignment="1">
      <alignment horizontal="center" wrapText="1"/>
    </xf>
    <xf numFmtId="0" fontId="0" fillId="43" borderId="0" xfId="0" applyFill="1" applyAlignment="1">
      <alignment horizontal="center"/>
    </xf>
    <xf numFmtId="0" fontId="25" fillId="43" borderId="0" xfId="0" applyFont="1" applyFill="1" applyAlignment="1">
      <alignment horizontal="center"/>
    </xf>
    <xf numFmtId="0" fontId="26" fillId="0" borderId="16" xfId="0" applyFont="1" applyBorder="1" applyAlignment="1" applyProtection="1">
      <alignment horizontal="center"/>
      <protection locked="0"/>
    </xf>
    <xf numFmtId="0" fontId="26" fillId="0" borderId="16" xfId="0" applyFont="1" applyFill="1" applyBorder="1"/>
    <xf numFmtId="0" fontId="0" fillId="0" borderId="0" xfId="0" applyFill="1"/>
    <xf numFmtId="0" fontId="0" fillId="37" borderId="0" xfId="0" applyFill="1"/>
    <xf numFmtId="0" fontId="25" fillId="37" borderId="0" xfId="0" applyFont="1" applyFill="1"/>
    <xf numFmtId="165" fontId="25" fillId="0" borderId="14" xfId="0" applyNumberFormat="1" applyFont="1" applyFill="1" applyBorder="1" applyAlignment="1" applyProtection="1">
      <alignment horizontal="center"/>
      <protection locked="0"/>
    </xf>
    <xf numFmtId="14" fontId="25" fillId="0" borderId="16" xfId="0" applyNumberFormat="1" applyFont="1" applyBorder="1" applyAlignment="1">
      <alignment horizontal="center"/>
    </xf>
    <xf numFmtId="0" fontId="26" fillId="38" borderId="16" xfId="0" applyFont="1" applyFill="1" applyBorder="1" applyAlignment="1">
      <alignment horizontal="center" vertical="center" wrapText="1"/>
    </xf>
    <xf numFmtId="0" fontId="26" fillId="0" borderId="16" xfId="0" applyFont="1" applyBorder="1" applyAlignment="1">
      <alignment wrapText="1"/>
    </xf>
    <xf numFmtId="43" fontId="47" fillId="33" borderId="16" xfId="1" applyNumberFormat="1" applyFont="1" applyFill="1" applyBorder="1" applyProtection="1">
      <protection hidden="1"/>
    </xf>
    <xf numFmtId="43" fontId="27" fillId="33" borderId="16" xfId="1" applyNumberFormat="1" applyFont="1" applyFill="1" applyBorder="1" applyProtection="1">
      <protection hidden="1"/>
    </xf>
    <xf numFmtId="0" fontId="32" fillId="33" borderId="0" xfId="0" applyFont="1" applyFill="1" applyBorder="1" applyAlignment="1">
      <alignment horizontal="right"/>
    </xf>
    <xf numFmtId="0" fontId="32" fillId="33" borderId="0" xfId="0" applyFont="1" applyFill="1" applyBorder="1" applyAlignment="1">
      <alignment horizontal="left"/>
    </xf>
    <xf numFmtId="0" fontId="27" fillId="33" borderId="16" xfId="0" applyFont="1" applyFill="1" applyBorder="1"/>
    <xf numFmtId="0" fontId="47" fillId="33" borderId="16" xfId="0" applyFont="1" applyFill="1" applyBorder="1"/>
    <xf numFmtId="168" fontId="47" fillId="33" borderId="16" xfId="1" applyNumberFormat="1" applyFont="1" applyFill="1" applyBorder="1" applyProtection="1">
      <protection hidden="1"/>
    </xf>
    <xf numFmtId="168" fontId="27" fillId="33" borderId="16" xfId="1" applyNumberFormat="1" applyFont="1" applyFill="1" applyBorder="1" applyProtection="1">
      <protection hidden="1"/>
    </xf>
    <xf numFmtId="0" fontId="26" fillId="34" borderId="17" xfId="0" applyFont="1" applyFill="1" applyBorder="1" applyAlignment="1">
      <alignment horizontal="center" vertical="center" wrapText="1"/>
    </xf>
    <xf numFmtId="0" fontId="26" fillId="34" borderId="18" xfId="0" applyFont="1" applyFill="1" applyBorder="1" applyAlignment="1">
      <alignment horizontal="center" vertical="center" wrapText="1"/>
    </xf>
    <xf numFmtId="0" fontId="36" fillId="34" borderId="11" xfId="246" applyFont="1" applyFill="1" applyBorder="1" applyAlignment="1" applyProtection="1">
      <alignment horizontal="center"/>
    </xf>
    <xf numFmtId="0" fontId="46" fillId="0" borderId="36" xfId="0" applyFont="1" applyFill="1" applyBorder="1" applyAlignment="1">
      <alignment horizontal="left" vertical="center"/>
    </xf>
    <xf numFmtId="0" fontId="46" fillId="0" borderId="37" xfId="0" applyFont="1" applyFill="1" applyBorder="1" applyAlignment="1">
      <alignment horizontal="left" vertical="center"/>
    </xf>
    <xf numFmtId="0" fontId="25" fillId="0" borderId="19" xfId="0" applyFont="1" applyFill="1" applyBorder="1" applyAlignment="1" applyProtection="1">
      <alignment horizontal="center" vertical="center" wrapText="1"/>
      <protection locked="0"/>
    </xf>
    <xf numFmtId="0" fontId="25" fillId="0" borderId="20" xfId="0" applyFont="1" applyFill="1" applyBorder="1" applyAlignment="1" applyProtection="1">
      <alignment horizontal="center" vertical="center" wrapText="1"/>
      <protection locked="0"/>
    </xf>
    <xf numFmtId="0" fontId="25" fillId="0" borderId="16" xfId="0" applyFont="1" applyBorder="1" applyAlignment="1" applyProtection="1">
      <alignment horizontal="center" vertical="center"/>
      <protection locked="0"/>
    </xf>
    <xf numFmtId="0" fontId="25" fillId="0" borderId="16" xfId="0" applyFont="1" applyBorder="1" applyAlignment="1">
      <alignment horizontal="left" vertical="center" wrapText="1"/>
    </xf>
    <xf numFmtId="0" fontId="44" fillId="0" borderId="16" xfId="0" applyFont="1" applyFill="1" applyBorder="1" applyAlignment="1">
      <alignment horizontal="center"/>
    </xf>
    <xf numFmtId="0" fontId="25" fillId="0" borderId="19" xfId="0" applyFont="1" applyBorder="1" applyAlignment="1">
      <alignment horizontal="left" vertical="center" wrapText="1"/>
    </xf>
    <xf numFmtId="0" fontId="25" fillId="0" borderId="20" xfId="0" applyFont="1" applyBorder="1" applyAlignment="1">
      <alignment horizontal="left" vertical="center" wrapText="1"/>
    </xf>
    <xf numFmtId="0" fontId="25" fillId="0" borderId="1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</cellXfs>
  <cellStyles count="247">
    <cellStyle name="_ET_STYLE_NoName_00_" xfId="2"/>
    <cellStyle name="_ET_STYLE_NoName_00_ 2" xfId="3"/>
    <cellStyle name="_ET_STYLE_NoName_00_ 3" xfId="4"/>
    <cellStyle name="_ET_STYLE_NoName_00_ 4" xfId="5"/>
    <cellStyle name="_ET_STYLE_NoName_00_ 5" xfId="6"/>
    <cellStyle name="_ET_STYLE_NoName_00_ 6" xfId="7"/>
    <cellStyle name="_ET_STYLE_NoName_00_ 7" xfId="8"/>
    <cellStyle name="_ET_STYLE_NoName_00_ 8" xfId="9"/>
    <cellStyle name="_ET_STYLE_NoName_00_ 9" xfId="10"/>
    <cellStyle name="20% - Accent1 2" xfId="11"/>
    <cellStyle name="20% - Accent1 2 2" xfId="12"/>
    <cellStyle name="20% - Accent1 2 3" xfId="13"/>
    <cellStyle name="20% - Accent1 2 4" xfId="14"/>
    <cellStyle name="20% - Accent1 2 5" xfId="15"/>
    <cellStyle name="20% - Accent1 2 6" xfId="16"/>
    <cellStyle name="20% - Accent1 2 7" xfId="17"/>
    <cellStyle name="20% - Accent1 2 8" xfId="18"/>
    <cellStyle name="20% - Accent1 2 9" xfId="19"/>
    <cellStyle name="20% - Accent2 2" xfId="20"/>
    <cellStyle name="20% - Accent2 2 2" xfId="21"/>
    <cellStyle name="20% - Accent2 2 3" xfId="22"/>
    <cellStyle name="20% - Accent2 2 4" xfId="23"/>
    <cellStyle name="20% - Accent2 2 5" xfId="24"/>
    <cellStyle name="20% - Accent2 2 6" xfId="25"/>
    <cellStyle name="20% - Accent2 2 7" xfId="26"/>
    <cellStyle name="20% - Accent2 2 8" xfId="27"/>
    <cellStyle name="20% - Accent2 2 9" xfId="28"/>
    <cellStyle name="20% - Accent3 2" xfId="29"/>
    <cellStyle name="20% - Accent3 2 2" xfId="30"/>
    <cellStyle name="20% - Accent3 2 3" xfId="31"/>
    <cellStyle name="20% - Accent3 2 4" xfId="32"/>
    <cellStyle name="20% - Accent3 2 5" xfId="33"/>
    <cellStyle name="20% - Accent3 2 6" xfId="34"/>
    <cellStyle name="20% - Accent3 2 7" xfId="35"/>
    <cellStyle name="20% - Accent3 2 8" xfId="36"/>
    <cellStyle name="20% - Accent3 2 9" xfId="37"/>
    <cellStyle name="20% - Accent4 2" xfId="38"/>
    <cellStyle name="20% - Accent4 2 2" xfId="39"/>
    <cellStyle name="20% - Accent4 2 3" xfId="40"/>
    <cellStyle name="20% - Accent4 2 4" xfId="41"/>
    <cellStyle name="20% - Accent4 2 5" xfId="42"/>
    <cellStyle name="20% - Accent4 2 6" xfId="43"/>
    <cellStyle name="20% - Accent4 2 7" xfId="44"/>
    <cellStyle name="20% - Accent4 2 8" xfId="45"/>
    <cellStyle name="20% - Accent4 2 9" xfId="46"/>
    <cellStyle name="20% - Accent5 2" xfId="47"/>
    <cellStyle name="20% - Accent5 2 2" xfId="48"/>
    <cellStyle name="20% - Accent5 2 3" xfId="49"/>
    <cellStyle name="20% - Accent5 2 4" xfId="50"/>
    <cellStyle name="20% - Accent5 2 5" xfId="51"/>
    <cellStyle name="20% - Accent5 2 6" xfId="52"/>
    <cellStyle name="20% - Accent5 2 7" xfId="53"/>
    <cellStyle name="20% - Accent5 2 8" xfId="54"/>
    <cellStyle name="20% - Accent5 2 9" xfId="55"/>
    <cellStyle name="20% - Accent6 2" xfId="56"/>
    <cellStyle name="20% - Accent6 2 2" xfId="57"/>
    <cellStyle name="20% - Accent6 2 3" xfId="58"/>
    <cellStyle name="20% - Accent6 2 4" xfId="59"/>
    <cellStyle name="20% - Accent6 2 5" xfId="60"/>
    <cellStyle name="20% - Accent6 2 6" xfId="61"/>
    <cellStyle name="20% - Accent6 2 7" xfId="62"/>
    <cellStyle name="20% - Accent6 2 8" xfId="63"/>
    <cellStyle name="20% - Accent6 2 9" xfId="64"/>
    <cellStyle name="40% - Accent1 2" xfId="65"/>
    <cellStyle name="40% - Accent1 2 2" xfId="66"/>
    <cellStyle name="40% - Accent1 2 3" xfId="67"/>
    <cellStyle name="40% - Accent1 2 4" xfId="68"/>
    <cellStyle name="40% - Accent1 2 5" xfId="69"/>
    <cellStyle name="40% - Accent1 2 6" xfId="70"/>
    <cellStyle name="40% - Accent1 2 7" xfId="71"/>
    <cellStyle name="40% - Accent1 2 8" xfId="72"/>
    <cellStyle name="40% - Accent1 2 9" xfId="73"/>
    <cellStyle name="40% - Accent2 2" xfId="74"/>
    <cellStyle name="40% - Accent2 2 2" xfId="75"/>
    <cellStyle name="40% - Accent2 2 3" xfId="76"/>
    <cellStyle name="40% - Accent2 2 4" xfId="77"/>
    <cellStyle name="40% - Accent2 2 5" xfId="78"/>
    <cellStyle name="40% - Accent2 2 6" xfId="79"/>
    <cellStyle name="40% - Accent2 2 7" xfId="80"/>
    <cellStyle name="40% - Accent2 2 8" xfId="81"/>
    <cellStyle name="40% - Accent2 2 9" xfId="82"/>
    <cellStyle name="40% - Accent3 2" xfId="83"/>
    <cellStyle name="40% - Accent3 2 2" xfId="84"/>
    <cellStyle name="40% - Accent3 2 3" xfId="85"/>
    <cellStyle name="40% - Accent3 2 4" xfId="86"/>
    <cellStyle name="40% - Accent3 2 5" xfId="87"/>
    <cellStyle name="40% - Accent3 2 6" xfId="88"/>
    <cellStyle name="40% - Accent3 2 7" xfId="89"/>
    <cellStyle name="40% - Accent3 2 8" xfId="90"/>
    <cellStyle name="40% - Accent3 2 9" xfId="91"/>
    <cellStyle name="40% - Accent4 2" xfId="92"/>
    <cellStyle name="40% - Accent4 2 2" xfId="93"/>
    <cellStyle name="40% - Accent4 2 3" xfId="94"/>
    <cellStyle name="40% - Accent4 2 4" xfId="95"/>
    <cellStyle name="40% - Accent4 2 5" xfId="96"/>
    <cellStyle name="40% - Accent4 2 6" xfId="97"/>
    <cellStyle name="40% - Accent4 2 7" xfId="98"/>
    <cellStyle name="40% - Accent4 2 8" xfId="99"/>
    <cellStyle name="40% - Accent4 2 9" xfId="100"/>
    <cellStyle name="40% - Accent5 2" xfId="101"/>
    <cellStyle name="40% - Accent5 2 2" xfId="102"/>
    <cellStyle name="40% - Accent5 2 3" xfId="103"/>
    <cellStyle name="40% - Accent5 2 4" xfId="104"/>
    <cellStyle name="40% - Accent5 2 5" xfId="105"/>
    <cellStyle name="40% - Accent5 2 6" xfId="106"/>
    <cellStyle name="40% - Accent5 2 7" xfId="107"/>
    <cellStyle name="40% - Accent5 2 8" xfId="108"/>
    <cellStyle name="40% - Accent5 2 9" xfId="109"/>
    <cellStyle name="40% - Accent6 2" xfId="110"/>
    <cellStyle name="40% - Accent6 2 2" xfId="111"/>
    <cellStyle name="40% - Accent6 2 3" xfId="112"/>
    <cellStyle name="40% - Accent6 2 4" xfId="113"/>
    <cellStyle name="40% - Accent6 2 5" xfId="114"/>
    <cellStyle name="40% - Accent6 2 6" xfId="115"/>
    <cellStyle name="40% - Accent6 2 7" xfId="116"/>
    <cellStyle name="40% - Accent6 2 8" xfId="117"/>
    <cellStyle name="40% - Accent6 2 9" xfId="118"/>
    <cellStyle name="60% - Accent1 2" xfId="119"/>
    <cellStyle name="60% - Accent2 2" xfId="120"/>
    <cellStyle name="60% - Accent3 2" xfId="121"/>
    <cellStyle name="60% - Accent4 2" xfId="122"/>
    <cellStyle name="60% - Accent5 2" xfId="123"/>
    <cellStyle name="60% - Accent6 2" xfId="124"/>
    <cellStyle name="Accent1 2" xfId="125"/>
    <cellStyle name="Accent2 2" xfId="126"/>
    <cellStyle name="Accent3 2" xfId="127"/>
    <cellStyle name="Accent4 2" xfId="128"/>
    <cellStyle name="Accent5 2" xfId="129"/>
    <cellStyle name="Accent6 2" xfId="130"/>
    <cellStyle name="Bad 2" xfId="131"/>
    <cellStyle name="Calculation 2" xfId="132"/>
    <cellStyle name="Check Cell 2" xfId="133"/>
    <cellStyle name="Comma" xfId="1" builtinId="3"/>
    <cellStyle name="Comma 2" xfId="134"/>
    <cellStyle name="Comma 2 10" xfId="135"/>
    <cellStyle name="Comma 2 2" xfId="136"/>
    <cellStyle name="Comma 2 2 2" xfId="137"/>
    <cellStyle name="Comma 2 2 3" xfId="138"/>
    <cellStyle name="Comma 2 2 4" xfId="139"/>
    <cellStyle name="Comma 2 2 5" xfId="140"/>
    <cellStyle name="Comma 2 2 6" xfId="141"/>
    <cellStyle name="Comma 2 2 7" xfId="142"/>
    <cellStyle name="Comma 2 2 8" xfId="143"/>
    <cellStyle name="Comma 2 2 9" xfId="144"/>
    <cellStyle name="Comma 2 3" xfId="145"/>
    <cellStyle name="Comma 2 4" xfId="146"/>
    <cellStyle name="Comma 2 5" xfId="147"/>
    <cellStyle name="Comma 2 6" xfId="148"/>
    <cellStyle name="Comma 2 7" xfId="149"/>
    <cellStyle name="Comma 2 8" xfId="150"/>
    <cellStyle name="Comma 2 9" xfId="151"/>
    <cellStyle name="Comma 3" xfId="152"/>
    <cellStyle name="Comma 3 2" xfId="153"/>
    <cellStyle name="Comma 3 3" xfId="154"/>
    <cellStyle name="Comma 3 4" xfId="155"/>
    <cellStyle name="Comma 3 5" xfId="156"/>
    <cellStyle name="Comma 3 6" xfId="157"/>
    <cellStyle name="Comma 3 7" xfId="158"/>
    <cellStyle name="Comma 3 8" xfId="159"/>
    <cellStyle name="Comma 3 9" xfId="160"/>
    <cellStyle name="Comma 4" xfId="161"/>
    <cellStyle name="Comma 4 2" xfId="162"/>
    <cellStyle name="Comma 4 3" xfId="163"/>
    <cellStyle name="Comma 4 4" xfId="164"/>
    <cellStyle name="Comma 4 5" xfId="165"/>
    <cellStyle name="Comma 4 6" xfId="166"/>
    <cellStyle name="Comma 4 7" xfId="167"/>
    <cellStyle name="Comma 4 8" xfId="168"/>
    <cellStyle name="Comma 4 9" xfId="169"/>
    <cellStyle name="Explanatory Text 2" xfId="170"/>
    <cellStyle name="Good 2" xfId="171"/>
    <cellStyle name="Heading 1 2" xfId="172"/>
    <cellStyle name="Heading 2 2" xfId="173"/>
    <cellStyle name="Heading 3 2" xfId="174"/>
    <cellStyle name="Heading 4 2" xfId="175"/>
    <cellStyle name="Hyperlink" xfId="246" builtinId="8"/>
    <cellStyle name="Hyperlink 2" xfId="176"/>
    <cellStyle name="Input 2" xfId="177"/>
    <cellStyle name="Linked Cell 2" xfId="178"/>
    <cellStyle name="Neutral 2" xfId="179"/>
    <cellStyle name="Normal" xfId="0" builtinId="0"/>
    <cellStyle name="Normal 2" xfId="180"/>
    <cellStyle name="Normal 2 2" xfId="181"/>
    <cellStyle name="Normal 2 3" xfId="182"/>
    <cellStyle name="Normal 2 4" xfId="183"/>
    <cellStyle name="Normal 2 5" xfId="184"/>
    <cellStyle name="Normal 2 6" xfId="185"/>
    <cellStyle name="Normal 2 7" xfId="186"/>
    <cellStyle name="Normal 2 8" xfId="187"/>
    <cellStyle name="Normal 2 9" xfId="188"/>
    <cellStyle name="Normal 3" xfId="189"/>
    <cellStyle name="Normal 3 2" xfId="190"/>
    <cellStyle name="Normal 3 3" xfId="191"/>
    <cellStyle name="Normal 3 4" xfId="192"/>
    <cellStyle name="Normal 3 5" xfId="193"/>
    <cellStyle name="Normal 3 6" xfId="194"/>
    <cellStyle name="Normal 3 7" xfId="195"/>
    <cellStyle name="Normal 3 8" xfId="196"/>
    <cellStyle name="Normal 3 9" xfId="197"/>
    <cellStyle name="Normal 4" xfId="198"/>
    <cellStyle name="Normal 4 2" xfId="199"/>
    <cellStyle name="Normal 4 3" xfId="200"/>
    <cellStyle name="Normal 4 4" xfId="201"/>
    <cellStyle name="Normal 4 5" xfId="202"/>
    <cellStyle name="Normal 4 6" xfId="203"/>
    <cellStyle name="Normal 4 7" xfId="204"/>
    <cellStyle name="Normal 4 8" xfId="205"/>
    <cellStyle name="Normal 4 9" xfId="206"/>
    <cellStyle name="Normal 5" xfId="207"/>
    <cellStyle name="Normal 5 2" xfId="208"/>
    <cellStyle name="Normal 5 3" xfId="209"/>
    <cellStyle name="Normal 5 4" xfId="210"/>
    <cellStyle name="Normal 5 5" xfId="211"/>
    <cellStyle name="Normal 5 6" xfId="212"/>
    <cellStyle name="Normal 5 7" xfId="213"/>
    <cellStyle name="Normal 5 8" xfId="214"/>
    <cellStyle name="Normal 5 9" xfId="215"/>
    <cellStyle name="Normal 6" xfId="216"/>
    <cellStyle name="Normal 7 2" xfId="217"/>
    <cellStyle name="Normal 8" xfId="218"/>
    <cellStyle name="Note 2" xfId="219"/>
    <cellStyle name="Note 2 2" xfId="220"/>
    <cellStyle name="Note 2 3" xfId="221"/>
    <cellStyle name="Note 2 4" xfId="222"/>
    <cellStyle name="Note 2 5" xfId="223"/>
    <cellStyle name="Note 2 6" xfId="224"/>
    <cellStyle name="Note 2 7" xfId="225"/>
    <cellStyle name="Note 2 8" xfId="226"/>
    <cellStyle name="Note 2 9" xfId="227"/>
    <cellStyle name="Output 2" xfId="228"/>
    <cellStyle name="Style 1" xfId="229"/>
    <cellStyle name="Style 1 10" xfId="230"/>
    <cellStyle name="Style 1 11" xfId="231"/>
    <cellStyle name="Style 1 12" xfId="232"/>
    <cellStyle name="Style 1 2" xfId="233"/>
    <cellStyle name="Style 1 3" xfId="234"/>
    <cellStyle name="Style 1 4" xfId="235"/>
    <cellStyle name="Style 1 5" xfId="236"/>
    <cellStyle name="Style 1 6" xfId="237"/>
    <cellStyle name="Style 1 7" xfId="238"/>
    <cellStyle name="Style 1 8" xfId="239"/>
    <cellStyle name="Style 1 9" xfId="240"/>
    <cellStyle name="Title 2" xfId="241"/>
    <cellStyle name="Total 2" xfId="242"/>
    <cellStyle name="Warning Text 2" xfId="243"/>
    <cellStyle name="千位分隔_list" xfId="244"/>
    <cellStyle name="常规_ 箱件清单" xfId="245"/>
  </cellStyles>
  <dxfs count="65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dani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dani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dani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dani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dani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dani Regular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dani Regular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dani Regular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dani Regular"/>
        <scheme val="none"/>
      </font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protection locked="0" hidden="0"/>
    </dxf>
    <dxf>
      <protection locked="0" hidden="0"/>
    </dxf>
    <dxf>
      <numFmt numFmtId="0" formatCode="General"/>
      <fill>
        <patternFill patternType="none">
          <fgColor rgb="FF000000"/>
          <bgColor auto="1"/>
        </patternFill>
      </fill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ill>
        <patternFill patternType="none">
          <fgColor indexed="64"/>
          <bgColor indexed="65"/>
        </patternFill>
      </fill>
      <protection locked="0" hidden="0"/>
    </dxf>
    <dxf>
      <numFmt numFmtId="0" formatCode="General"/>
      <fill>
        <patternFill patternType="none">
          <fgColor indexed="64"/>
          <bgColor auto="1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protection locked="0" hidden="0"/>
    </dxf>
    <dxf>
      <numFmt numFmtId="0" formatCode="General"/>
      <fill>
        <patternFill patternType="none">
          <fgColor indexed="64"/>
          <bgColor indexed="65"/>
        </patternFill>
      </fill>
      <protection locked="0" hidden="0"/>
    </dxf>
    <dxf>
      <numFmt numFmtId="0" formatCode="General"/>
      <fill>
        <patternFill patternType="none">
          <fgColor rgb="FF000000"/>
          <bgColor auto="1"/>
        </patternFill>
      </fill>
      <protection locked="0" hidden="0"/>
    </dxf>
    <dxf>
      <fill>
        <patternFill patternType="none">
          <fgColor rgb="FF000000"/>
          <bgColor auto="1"/>
        </patternFill>
      </fill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fmlaLink="$B$9" lockText="1"/>
</file>

<file path=xl/ctrlProps/ctrlProp10.xml><?xml version="1.0" encoding="utf-8"?>
<formControlPr xmlns="http://schemas.microsoft.com/office/spreadsheetml/2009/9/main" objectType="CheckBox" fmlaLink="$C$9" lockText="1"/>
</file>

<file path=xl/ctrlProps/ctrlProp11.xml><?xml version="1.0" encoding="utf-8"?>
<formControlPr xmlns="http://schemas.microsoft.com/office/spreadsheetml/2009/9/main" objectType="CheckBox" fmlaLink="$C$10" lockText="1"/>
</file>

<file path=xl/ctrlProps/ctrlProp12.xml><?xml version="1.0" encoding="utf-8"?>
<formControlPr xmlns="http://schemas.microsoft.com/office/spreadsheetml/2009/9/main" objectType="CheckBox" fmlaLink="$C$11" lockText="1"/>
</file>

<file path=xl/ctrlProps/ctrlProp13.xml><?xml version="1.0" encoding="utf-8"?>
<formControlPr xmlns="http://schemas.microsoft.com/office/spreadsheetml/2009/9/main" objectType="CheckBox" fmlaLink="$C$12" lockText="1"/>
</file>

<file path=xl/ctrlProps/ctrlProp14.xml><?xml version="1.0" encoding="utf-8"?>
<formControlPr xmlns="http://schemas.microsoft.com/office/spreadsheetml/2009/9/main" objectType="CheckBox" fmlaLink="$C$13" lockText="1"/>
</file>

<file path=xl/ctrlProps/ctrlProp15.xml><?xml version="1.0" encoding="utf-8"?>
<formControlPr xmlns="http://schemas.microsoft.com/office/spreadsheetml/2009/9/main" objectType="CheckBox" fmlaLink="$C$14" lockText="1"/>
</file>

<file path=xl/ctrlProps/ctrlProp16.xml><?xml version="1.0" encoding="utf-8"?>
<formControlPr xmlns="http://schemas.microsoft.com/office/spreadsheetml/2009/9/main" objectType="CheckBox" fmlaLink="$C$15" lockText="1"/>
</file>

<file path=xl/ctrlProps/ctrlProp17.xml><?xml version="1.0" encoding="utf-8"?>
<formControlPr xmlns="http://schemas.microsoft.com/office/spreadsheetml/2009/9/main" objectType="CheckBox" fmlaLink="$C$16" lockText="1"/>
</file>

<file path=xl/ctrlProps/ctrlProp18.xml><?xml version="1.0" encoding="utf-8"?>
<formControlPr xmlns="http://schemas.microsoft.com/office/spreadsheetml/2009/9/main" objectType="CheckBox" fmlaLink="$C$12" lockText="1"/>
</file>

<file path=xl/ctrlProps/ctrlProp19.xml><?xml version="1.0" encoding="utf-8"?>
<formControlPr xmlns="http://schemas.microsoft.com/office/spreadsheetml/2009/9/main" objectType="CheckBox" fmlaLink="$C$16" lockText="1"/>
</file>

<file path=xl/ctrlProps/ctrlProp2.xml><?xml version="1.0" encoding="utf-8"?>
<formControlPr xmlns="http://schemas.microsoft.com/office/spreadsheetml/2009/9/main" objectType="CheckBox" fmlaLink="$B$10" lockText="1"/>
</file>

<file path=xl/ctrlProps/ctrlProp20.xml><?xml version="1.0" encoding="utf-8"?>
<formControlPr xmlns="http://schemas.microsoft.com/office/spreadsheetml/2009/9/main" objectType="CheckBox" fmlaLink="$C$12" lockText="1"/>
</file>

<file path=xl/ctrlProps/ctrlProp21.xml><?xml version="1.0" encoding="utf-8"?>
<formControlPr xmlns="http://schemas.microsoft.com/office/spreadsheetml/2009/9/main" objectType="CheckBox" fmlaLink="$C$13" lockText="1"/>
</file>

<file path=xl/ctrlProps/ctrlProp22.xml><?xml version="1.0" encoding="utf-8"?>
<formControlPr xmlns="http://schemas.microsoft.com/office/spreadsheetml/2009/9/main" objectType="CheckBox" fmlaLink="$C$14" lockText="1"/>
</file>

<file path=xl/ctrlProps/ctrlProp23.xml><?xml version="1.0" encoding="utf-8"?>
<formControlPr xmlns="http://schemas.microsoft.com/office/spreadsheetml/2009/9/main" objectType="CheckBox" fmlaLink="$C$17" lockText="1"/>
</file>

<file path=xl/ctrlProps/ctrlProp24.xml><?xml version="1.0" encoding="utf-8"?>
<formControlPr xmlns="http://schemas.microsoft.com/office/spreadsheetml/2009/9/main" objectType="CheckBox" fmlaLink="$C$13" lockText="1"/>
</file>

<file path=xl/ctrlProps/ctrlProp25.xml><?xml version="1.0" encoding="utf-8"?>
<formControlPr xmlns="http://schemas.microsoft.com/office/spreadsheetml/2009/9/main" objectType="CheckBox" fmlaLink="$C$13" lockText="1"/>
</file>

<file path=xl/ctrlProps/ctrlProp26.xml><?xml version="1.0" encoding="utf-8"?>
<formControlPr xmlns="http://schemas.microsoft.com/office/spreadsheetml/2009/9/main" objectType="CheckBox" fmlaLink="$C$12" lockText="1"/>
</file>

<file path=xl/ctrlProps/ctrlProp27.xml><?xml version="1.0" encoding="utf-8"?>
<formControlPr xmlns="http://schemas.microsoft.com/office/spreadsheetml/2009/9/main" objectType="CheckBox" fmlaLink="$C$14" lockText="1"/>
</file>

<file path=xl/ctrlProps/ctrlProp3.xml><?xml version="1.0" encoding="utf-8"?>
<formControlPr xmlns="http://schemas.microsoft.com/office/spreadsheetml/2009/9/main" objectType="CheckBox" fmlaLink="$B$11" lockText="1"/>
</file>

<file path=xl/ctrlProps/ctrlProp4.xml><?xml version="1.0" encoding="utf-8"?>
<formControlPr xmlns="http://schemas.microsoft.com/office/spreadsheetml/2009/9/main" objectType="CheckBox" fmlaLink="$B$12" lockText="1"/>
</file>

<file path=xl/ctrlProps/ctrlProp5.xml><?xml version="1.0" encoding="utf-8"?>
<formControlPr xmlns="http://schemas.microsoft.com/office/spreadsheetml/2009/9/main" objectType="CheckBox" fmlaLink="$B$13" lockText="1"/>
</file>

<file path=xl/ctrlProps/ctrlProp6.xml><?xml version="1.0" encoding="utf-8"?>
<formControlPr xmlns="http://schemas.microsoft.com/office/spreadsheetml/2009/9/main" objectType="CheckBox" fmlaLink="$B$14" lockText="1"/>
</file>

<file path=xl/ctrlProps/ctrlProp7.xml><?xml version="1.0" encoding="utf-8"?>
<formControlPr xmlns="http://schemas.microsoft.com/office/spreadsheetml/2009/9/main" objectType="Drop" dropLines="4" dropStyle="combo" dx="16" fmlaLink="J6" fmlaRange="$X$10:$Y$11" val="0"/>
</file>

<file path=xl/ctrlProps/ctrlProp8.xml><?xml version="1.0" encoding="utf-8"?>
<formControlPr xmlns="http://schemas.microsoft.com/office/spreadsheetml/2009/9/main" objectType="Drop" dropLines="6" dropStyle="combo" dx="16" fmlaLink="H3" fmlaRange="$V$18:$V$23" val="0"/>
</file>

<file path=xl/ctrlProps/ctrlProp9.xml><?xml version="1.0" encoding="utf-8"?>
<formControlPr xmlns="http://schemas.microsoft.com/office/spreadsheetml/2009/9/main" objectType="Drop" dropLines="4" dropStyle="combo" dx="16" fmlaLink="H4" fmlaRange="$V$10:$V$13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hyperlink" Target="#'Addnl Services'!A1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emf"/><Relationship Id="rId2" Type="http://schemas.openxmlformats.org/officeDocument/2006/relationships/image" Target="../media/image2.jpeg"/><Relationship Id="rId1" Type="http://schemas.openxmlformats.org/officeDocument/2006/relationships/hyperlink" Target="#'Tariff Calc'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390525</xdr:colOff>
      <xdr:row>0</xdr:row>
      <xdr:rowOff>9525</xdr:rowOff>
    </xdr:from>
    <xdr:to>
      <xdr:col>21</xdr:col>
      <xdr:colOff>55269</xdr:colOff>
      <xdr:row>8</xdr:row>
      <xdr:rowOff>7951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44125" y="9525"/>
          <a:ext cx="2103144" cy="1951051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700666</xdr:colOff>
      <xdr:row>2</xdr:row>
      <xdr:rowOff>39835</xdr:rowOff>
    </xdr:from>
    <xdr:ext cx="1881188" cy="676275"/>
    <xdr:sp macro="" textlink="">
      <xdr:nvSpPr>
        <xdr:cNvPr id="2" name="Rectangle 1"/>
        <xdr:cNvSpPr/>
      </xdr:nvSpPr>
      <xdr:spPr>
        <a:xfrm>
          <a:off x="1618530" y="351562"/>
          <a:ext cx="1881188" cy="6762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800" b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Marine Dues Tariff</a:t>
          </a:r>
          <a:r>
            <a:rPr lang="en-US" sz="1800" b="1" cap="none" spc="0" baseline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Calculator</a:t>
          </a:r>
          <a:endParaRPr lang="en-US" sz="1800" b="1" cap="none" spc="0">
            <a:ln w="10541" cmpd="sng">
              <a:solidFill>
                <a:schemeClr val="accent1">
                  <a:shade val="88000"/>
                  <a:satMod val="110000"/>
                </a:schemeClr>
              </a:solidFill>
              <a:prstDash val="solid"/>
            </a:ln>
            <a:gradFill>
              <a:gsLst>
                <a:gs pos="0">
                  <a:schemeClr val="accent1">
                    <a:tint val="40000"/>
                    <a:satMod val="250000"/>
                  </a:schemeClr>
                </a:gs>
                <a:gs pos="9000">
                  <a:schemeClr val="accent1">
                    <a:tint val="52000"/>
                    <a:satMod val="300000"/>
                  </a:schemeClr>
                </a:gs>
                <a:gs pos="50000">
                  <a:schemeClr val="accent1">
                    <a:shade val="20000"/>
                    <a:satMod val="300000"/>
                  </a:schemeClr>
                </a:gs>
                <a:gs pos="79000">
                  <a:schemeClr val="accent1">
                    <a:tint val="52000"/>
                    <a:satMod val="300000"/>
                  </a:schemeClr>
                </a:gs>
                <a:gs pos="100000">
                  <a:schemeClr val="accent1">
                    <a:tint val="40000"/>
                    <a:satMod val="250000"/>
                  </a:schemeClr>
                </a:gs>
              </a:gsLst>
              <a:lin ang="5400000"/>
            </a:gradFill>
            <a:effectLst/>
          </a:endParaRPr>
        </a:p>
      </xdr:txBody>
    </xdr:sp>
    <xdr:clientData/>
  </xdr:oneCellAnchor>
  <xdr:twoCellAnchor editAs="oneCell">
    <xdr:from>
      <xdr:col>2</xdr:col>
      <xdr:colOff>37524</xdr:colOff>
      <xdr:row>2</xdr:row>
      <xdr:rowOff>25400</xdr:rowOff>
    </xdr:from>
    <xdr:to>
      <xdr:col>3</xdr:col>
      <xdr:colOff>856920</xdr:colOff>
      <xdr:row>3</xdr:row>
      <xdr:rowOff>193766</xdr:rowOff>
    </xdr:to>
    <xdr:pic>
      <xdr:nvPicPr>
        <xdr:cNvPr id="3" name="Picture 2" descr="adani_logo_cmyk_master.jpg"/>
        <xdr:cNvPicPr/>
      </xdr:nvPicPr>
      <xdr:blipFill>
        <a:blip xmlns:r="http://schemas.openxmlformats.org/officeDocument/2006/relationships" r:embed="rId1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tretch>
          <a:fillRect/>
        </a:stretch>
      </xdr:blipFill>
      <xdr:spPr>
        <a:xfrm>
          <a:off x="132774" y="189923"/>
          <a:ext cx="1183078" cy="37618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8</xdr:row>
          <xdr:rowOff>0</xdr:rowOff>
        </xdr:from>
        <xdr:to>
          <xdr:col>2</xdr:col>
          <xdr:colOff>238125</xdr:colOff>
          <xdr:row>9</xdr:row>
          <xdr:rowOff>0</xdr:rowOff>
        </xdr:to>
        <xdr:sp macro="" textlink="">
          <xdr:nvSpPr>
            <xdr:cNvPr id="2049" name="Check Box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9</xdr:row>
          <xdr:rowOff>0</xdr:rowOff>
        </xdr:from>
        <xdr:to>
          <xdr:col>2</xdr:col>
          <xdr:colOff>238125</xdr:colOff>
          <xdr:row>9</xdr:row>
          <xdr:rowOff>161925</xdr:rowOff>
        </xdr:to>
        <xdr:sp macro="" textlink="">
          <xdr:nvSpPr>
            <xdr:cNvPr id="2050" name="Check Box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</xdr:row>
          <xdr:rowOff>0</xdr:rowOff>
        </xdr:from>
        <xdr:to>
          <xdr:col>2</xdr:col>
          <xdr:colOff>238125</xdr:colOff>
          <xdr:row>12</xdr:row>
          <xdr:rowOff>19050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11</xdr:row>
          <xdr:rowOff>161925</xdr:rowOff>
        </xdr:from>
        <xdr:to>
          <xdr:col>2</xdr:col>
          <xdr:colOff>238125</xdr:colOff>
          <xdr:row>13</xdr:row>
          <xdr:rowOff>19050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12</xdr:row>
          <xdr:rowOff>133350</xdr:rowOff>
        </xdr:from>
        <xdr:to>
          <xdr:col>2</xdr:col>
          <xdr:colOff>238125</xdr:colOff>
          <xdr:row>14</xdr:row>
          <xdr:rowOff>19050</xdr:rowOff>
        </xdr:to>
        <xdr:sp macro="" textlink="">
          <xdr:nvSpPr>
            <xdr:cNvPr id="2055" name="Check Box 7" hidden="1">
              <a:extLst>
                <a:ext uri="{63B3BB69-23CF-44E3-9099-C40C66FF867C}">
                  <a14:compatExt spid="_x0000_s20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4</xdr:row>
          <xdr:rowOff>152400</xdr:rowOff>
        </xdr:from>
        <xdr:to>
          <xdr:col>9</xdr:col>
          <xdr:colOff>1000125</xdr:colOff>
          <xdr:row>5</xdr:row>
          <xdr:rowOff>152400</xdr:rowOff>
        </xdr:to>
        <xdr:sp macro="" textlink="">
          <xdr:nvSpPr>
            <xdr:cNvPr id="2062" name="Drop Down 14" hidden="1">
              <a:extLst>
                <a:ext uri="{63B3BB69-23CF-44E3-9099-C40C66FF867C}">
                  <a14:compatExt spid="_x0000_s20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</xdr:row>
          <xdr:rowOff>142875</xdr:rowOff>
        </xdr:from>
        <xdr:to>
          <xdr:col>8</xdr:col>
          <xdr:colOff>28575</xdr:colOff>
          <xdr:row>2</xdr:row>
          <xdr:rowOff>180975</xdr:rowOff>
        </xdr:to>
        <xdr:sp macro="" textlink="">
          <xdr:nvSpPr>
            <xdr:cNvPr id="2065" name="Drop Down 17" hidden="1">
              <a:extLst>
                <a:ext uri="{63B3BB69-23CF-44E3-9099-C40C66FF867C}">
                  <a14:compatExt spid="_x0000_s20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10</xdr:row>
          <xdr:rowOff>9525</xdr:rowOff>
        </xdr:from>
        <xdr:to>
          <xdr:col>2</xdr:col>
          <xdr:colOff>238125</xdr:colOff>
          <xdr:row>11</xdr:row>
          <xdr:rowOff>9525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>
    <xdr:from>
      <xdr:col>3</xdr:col>
      <xdr:colOff>103910</xdr:colOff>
      <xdr:row>15</xdr:row>
      <xdr:rowOff>25976</xdr:rowOff>
    </xdr:from>
    <xdr:to>
      <xdr:col>3</xdr:col>
      <xdr:colOff>2268682</xdr:colOff>
      <xdr:row>15</xdr:row>
      <xdr:rowOff>251113</xdr:rowOff>
    </xdr:to>
    <xdr:sp macro="" textlink="">
      <xdr:nvSpPr>
        <xdr:cNvPr id="8" name="Rectangle 7">
          <a:hlinkClick xmlns:r="http://schemas.openxmlformats.org/officeDocument/2006/relationships" r:id="rId2"/>
        </xdr:cNvPr>
        <xdr:cNvSpPr/>
      </xdr:nvSpPr>
      <xdr:spPr>
        <a:xfrm>
          <a:off x="943842" y="2788226"/>
          <a:ext cx="2164772" cy="225137"/>
        </a:xfrm>
        <a:prstGeom prst="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 b="1">
              <a:latin typeface="Adani Regular" panose="02000503000000020004" pitchFamily="2" charset="0"/>
            </a:rPr>
            <a:t>Click for Additional Services</a:t>
          </a:r>
        </a:p>
      </xdr:txBody>
    </xdr:sp>
    <xdr:clientData/>
  </xdr:twoCellAnchor>
  <xdr:twoCellAnchor>
    <xdr:from>
      <xdr:col>9</xdr:col>
      <xdr:colOff>17318</xdr:colOff>
      <xdr:row>15</xdr:row>
      <xdr:rowOff>25976</xdr:rowOff>
    </xdr:from>
    <xdr:to>
      <xdr:col>9</xdr:col>
      <xdr:colOff>1186293</xdr:colOff>
      <xdr:row>15</xdr:row>
      <xdr:rowOff>251113</xdr:rowOff>
    </xdr:to>
    <xdr:sp macro="" textlink="$J$16">
      <xdr:nvSpPr>
        <xdr:cNvPr id="21" name="Rectangle 20"/>
        <xdr:cNvSpPr/>
      </xdr:nvSpPr>
      <xdr:spPr>
        <a:xfrm>
          <a:off x="5983432" y="2788226"/>
          <a:ext cx="1168975" cy="225137"/>
        </a:xfrm>
        <a:prstGeom prst="rect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DC5C093C-A2EE-484E-93D2-CB060508E3CB}" type="TxLink">
            <a:rPr lang="en-US" sz="1000" b="1" i="0" u="none" strike="noStrike">
              <a:solidFill>
                <a:schemeClr val="bg1"/>
              </a:solidFill>
              <a:latin typeface="Adani Regular"/>
            </a:rPr>
            <a:pPr algn="ctr"/>
            <a:t> -   </a:t>
          </a:fld>
          <a:endParaRPr lang="en-US" sz="1100" b="1">
            <a:solidFill>
              <a:schemeClr val="bg1"/>
            </a:solidFill>
            <a:latin typeface="Adani Regular" panose="02000503000000020004" pitchFamily="2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</xdr:row>
          <xdr:rowOff>190500</xdr:rowOff>
        </xdr:from>
        <xdr:to>
          <xdr:col>8</xdr:col>
          <xdr:colOff>28575</xdr:colOff>
          <xdr:row>3</xdr:row>
          <xdr:rowOff>180975</xdr:rowOff>
        </xdr:to>
        <xdr:sp macro="" textlink="">
          <xdr:nvSpPr>
            <xdr:cNvPr id="2069" name="Drop Down 21" hidden="1">
              <a:extLst>
                <a:ext uri="{63B3BB69-23CF-44E3-9099-C40C66FF867C}">
                  <a14:compatExt spid="_x0000_s20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xdr:twoCellAnchor editAs="oneCell">
    <xdr:from>
      <xdr:col>12</xdr:col>
      <xdr:colOff>606136</xdr:colOff>
      <xdr:row>7</xdr:row>
      <xdr:rowOff>95250</xdr:rowOff>
    </xdr:from>
    <xdr:to>
      <xdr:col>16</xdr:col>
      <xdr:colOff>46032</xdr:colOff>
      <xdr:row>17</xdr:row>
      <xdr:rowOff>22527</xdr:rowOff>
    </xdr:to>
    <xdr:pic>
      <xdr:nvPicPr>
        <xdr:cNvPr id="1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57704" y="1272886"/>
          <a:ext cx="2089578" cy="195350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348097</xdr:colOff>
      <xdr:row>2</xdr:row>
      <xdr:rowOff>38100</xdr:rowOff>
    </xdr:from>
    <xdr:to>
      <xdr:col>8</xdr:col>
      <xdr:colOff>1104901</xdr:colOff>
      <xdr:row>4</xdr:row>
      <xdr:rowOff>104774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6339322" y="342900"/>
          <a:ext cx="756804" cy="476249"/>
        </a:xfrm>
        <a:prstGeom prst="leftArrow">
          <a:avLst/>
        </a:prstGeom>
      </xdr:spPr>
      <xdr:style>
        <a:lnRef idx="0">
          <a:schemeClr val="accent4"/>
        </a:lnRef>
        <a:fillRef idx="3">
          <a:schemeClr val="accent4"/>
        </a:fillRef>
        <a:effectRef idx="3">
          <a:schemeClr val="accent4"/>
        </a:effectRef>
        <a:fontRef idx="minor">
          <a:schemeClr val="lt1"/>
        </a:fontRef>
      </xdr:style>
      <xdr:txBody>
        <a:bodyPr vertOverflow="clip" horzOverflow="clip" lIns="0" tIns="45720" rIns="0" bIns="0" rtlCol="0" anchor="ctr"/>
        <a:lstStyle/>
        <a:p>
          <a:pPr algn="ctr"/>
          <a:r>
            <a:rPr lang="en-IN" sz="1200" b="1">
              <a:latin typeface="Adani Regular" pitchFamily="2" charset="0"/>
            </a:rPr>
            <a:t>Back</a:t>
          </a:r>
          <a:endParaRPr lang="en-IN" sz="1800" b="1">
            <a:latin typeface="Adani Regular" pitchFamily="2" charset="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</xdr:colOff>
          <xdr:row>7</xdr:row>
          <xdr:rowOff>304800</xdr:rowOff>
        </xdr:from>
        <xdr:to>
          <xdr:col>3</xdr:col>
          <xdr:colOff>76200</xdr:colOff>
          <xdr:row>9</xdr:row>
          <xdr:rowOff>19050</xdr:rowOff>
        </xdr:to>
        <xdr:sp macro="" textlink="">
          <xdr:nvSpPr>
            <xdr:cNvPr id="4097" name="Check Box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</xdr:row>
          <xdr:rowOff>142875</xdr:rowOff>
        </xdr:from>
        <xdr:to>
          <xdr:col>3</xdr:col>
          <xdr:colOff>66675</xdr:colOff>
          <xdr:row>10</xdr:row>
          <xdr:rowOff>28575</xdr:rowOff>
        </xdr:to>
        <xdr:sp macro="" textlink="">
          <xdr:nvSpPr>
            <xdr:cNvPr id="4098" name="Check Box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9</xdr:row>
          <xdr:rowOff>133350</xdr:rowOff>
        </xdr:from>
        <xdr:to>
          <xdr:col>3</xdr:col>
          <xdr:colOff>66675</xdr:colOff>
          <xdr:row>11</xdr:row>
          <xdr:rowOff>19050</xdr:rowOff>
        </xdr:to>
        <xdr:sp macro="" textlink="">
          <xdr:nvSpPr>
            <xdr:cNvPr id="4099" name="Check Box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10</xdr:row>
          <xdr:rowOff>133350</xdr:rowOff>
        </xdr:from>
        <xdr:to>
          <xdr:col>3</xdr:col>
          <xdr:colOff>66675</xdr:colOff>
          <xdr:row>12</xdr:row>
          <xdr:rowOff>19050</xdr:rowOff>
        </xdr:to>
        <xdr:sp macro="" textlink="">
          <xdr:nvSpPr>
            <xdr:cNvPr id="4100" name="Check Box 4" hidden="1">
              <a:extLst>
                <a:ext uri="{63B3BB69-23CF-44E3-9099-C40C66FF867C}">
                  <a14:compatExt spid="_x0000_s41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11</xdr:row>
          <xdr:rowOff>142875</xdr:rowOff>
        </xdr:from>
        <xdr:to>
          <xdr:col>3</xdr:col>
          <xdr:colOff>66675</xdr:colOff>
          <xdr:row>13</xdr:row>
          <xdr:rowOff>28575</xdr:rowOff>
        </xdr:to>
        <xdr:sp macro="" textlink="">
          <xdr:nvSpPr>
            <xdr:cNvPr id="4101" name="Check Box 5" hidden="1">
              <a:extLst>
                <a:ext uri="{63B3BB69-23CF-44E3-9099-C40C66FF867C}">
                  <a14:compatExt spid="_x0000_s41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12</xdr:row>
          <xdr:rowOff>142875</xdr:rowOff>
        </xdr:from>
        <xdr:to>
          <xdr:col>3</xdr:col>
          <xdr:colOff>66675</xdr:colOff>
          <xdr:row>14</xdr:row>
          <xdr:rowOff>28575</xdr:rowOff>
        </xdr:to>
        <xdr:sp macro="" textlink="">
          <xdr:nvSpPr>
            <xdr:cNvPr id="4102" name="Check Box 6" hidden="1">
              <a:extLst>
                <a:ext uri="{63B3BB69-23CF-44E3-9099-C40C66FF867C}">
                  <a14:compatExt spid="_x0000_s41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13</xdr:row>
          <xdr:rowOff>142875</xdr:rowOff>
        </xdr:from>
        <xdr:to>
          <xdr:col>3</xdr:col>
          <xdr:colOff>57150</xdr:colOff>
          <xdr:row>15</xdr:row>
          <xdr:rowOff>28575</xdr:rowOff>
        </xdr:to>
        <xdr:sp macro="" textlink="">
          <xdr:nvSpPr>
            <xdr:cNvPr id="4119" name="Check Box 23" hidden="1">
              <a:extLst>
                <a:ext uri="{63B3BB69-23CF-44E3-9099-C40C66FF867C}">
                  <a14:compatExt spid="_x0000_s41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47625</xdr:colOff>
          <xdr:row>14</xdr:row>
          <xdr:rowOff>142875</xdr:rowOff>
        </xdr:from>
        <xdr:to>
          <xdr:col>3</xdr:col>
          <xdr:colOff>57150</xdr:colOff>
          <xdr:row>16</xdr:row>
          <xdr:rowOff>28575</xdr:rowOff>
        </xdr:to>
        <xdr:sp macro="" textlink="">
          <xdr:nvSpPr>
            <xdr:cNvPr id="4121" name="Check Box 25" hidden="1">
              <a:extLst>
                <a:ext uri="{63B3BB69-23CF-44E3-9099-C40C66FF867C}">
                  <a14:compatExt spid="_x0000_s4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14</xdr:row>
          <xdr:rowOff>133350</xdr:rowOff>
        </xdr:from>
        <xdr:to>
          <xdr:col>3</xdr:col>
          <xdr:colOff>66675</xdr:colOff>
          <xdr:row>16</xdr:row>
          <xdr:rowOff>19050</xdr:rowOff>
        </xdr:to>
        <xdr:sp macro="" textlink="">
          <xdr:nvSpPr>
            <xdr:cNvPr id="4123" name="Check Box 27" hidden="1">
              <a:extLst>
                <a:ext uri="{63B3BB69-23CF-44E3-9099-C40C66FF867C}">
                  <a14:compatExt spid="_x0000_s4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14</xdr:row>
          <xdr:rowOff>133350</xdr:rowOff>
        </xdr:from>
        <xdr:to>
          <xdr:col>3</xdr:col>
          <xdr:colOff>66675</xdr:colOff>
          <xdr:row>16</xdr:row>
          <xdr:rowOff>19050</xdr:rowOff>
        </xdr:to>
        <xdr:sp macro="" textlink="">
          <xdr:nvSpPr>
            <xdr:cNvPr id="4124" name="Check Box 28" hidden="1">
              <a:extLst>
                <a:ext uri="{63B3BB69-23CF-44E3-9099-C40C66FF867C}">
                  <a14:compatExt spid="_x0000_s41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11</xdr:row>
          <xdr:rowOff>133350</xdr:rowOff>
        </xdr:from>
        <xdr:to>
          <xdr:col>3</xdr:col>
          <xdr:colOff>66675</xdr:colOff>
          <xdr:row>13</xdr:row>
          <xdr:rowOff>19050</xdr:rowOff>
        </xdr:to>
        <xdr:sp macro="" textlink="">
          <xdr:nvSpPr>
            <xdr:cNvPr id="4125" name="Check Box 29" hidden="1">
              <a:extLst>
                <a:ext uri="{63B3BB69-23CF-44E3-9099-C40C66FF867C}">
                  <a14:compatExt spid="_x0000_s41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11</xdr:row>
          <xdr:rowOff>133350</xdr:rowOff>
        </xdr:from>
        <xdr:to>
          <xdr:col>3</xdr:col>
          <xdr:colOff>66675</xdr:colOff>
          <xdr:row>13</xdr:row>
          <xdr:rowOff>19050</xdr:rowOff>
        </xdr:to>
        <xdr:sp macro="" textlink="">
          <xdr:nvSpPr>
            <xdr:cNvPr id="4126" name="Check Box 30" hidden="1">
              <a:extLst>
                <a:ext uri="{63B3BB69-23CF-44E3-9099-C40C66FF867C}">
                  <a14:compatExt spid="_x0000_s41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15</xdr:row>
          <xdr:rowOff>142875</xdr:rowOff>
        </xdr:from>
        <xdr:to>
          <xdr:col>3</xdr:col>
          <xdr:colOff>66675</xdr:colOff>
          <xdr:row>17</xdr:row>
          <xdr:rowOff>28575</xdr:rowOff>
        </xdr:to>
        <xdr:sp macro="" textlink="">
          <xdr:nvSpPr>
            <xdr:cNvPr id="4129" name="Check Box 33" hidden="1">
              <a:extLst>
                <a:ext uri="{63B3BB69-23CF-44E3-9099-C40C66FF867C}">
                  <a14:compatExt spid="_x0000_s41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15</xdr:row>
          <xdr:rowOff>133350</xdr:rowOff>
        </xdr:from>
        <xdr:to>
          <xdr:col>3</xdr:col>
          <xdr:colOff>66675</xdr:colOff>
          <xdr:row>17</xdr:row>
          <xdr:rowOff>19050</xdr:rowOff>
        </xdr:to>
        <xdr:sp macro="" textlink="">
          <xdr:nvSpPr>
            <xdr:cNvPr id="4130" name="Check Box 34" hidden="1">
              <a:extLst>
                <a:ext uri="{63B3BB69-23CF-44E3-9099-C40C66FF867C}">
                  <a14:compatExt spid="_x0000_s41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12</xdr:row>
          <xdr:rowOff>142875</xdr:rowOff>
        </xdr:from>
        <xdr:to>
          <xdr:col>3</xdr:col>
          <xdr:colOff>66675</xdr:colOff>
          <xdr:row>14</xdr:row>
          <xdr:rowOff>28575</xdr:rowOff>
        </xdr:to>
        <xdr:sp macro="" textlink="">
          <xdr:nvSpPr>
            <xdr:cNvPr id="4131" name="Check Box 35" hidden="1">
              <a:extLst>
                <a:ext uri="{63B3BB69-23CF-44E3-9099-C40C66FF867C}">
                  <a14:compatExt spid="_x0000_s41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12</xdr:row>
          <xdr:rowOff>133350</xdr:rowOff>
        </xdr:from>
        <xdr:to>
          <xdr:col>3</xdr:col>
          <xdr:colOff>66675</xdr:colOff>
          <xdr:row>14</xdr:row>
          <xdr:rowOff>19050</xdr:rowOff>
        </xdr:to>
        <xdr:sp macro="" textlink="">
          <xdr:nvSpPr>
            <xdr:cNvPr id="4132" name="Check Box 36" hidden="1">
              <a:extLst>
                <a:ext uri="{63B3BB69-23CF-44E3-9099-C40C66FF867C}">
                  <a14:compatExt spid="_x0000_s41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12</xdr:row>
          <xdr:rowOff>133350</xdr:rowOff>
        </xdr:from>
        <xdr:to>
          <xdr:col>3</xdr:col>
          <xdr:colOff>66675</xdr:colOff>
          <xdr:row>14</xdr:row>
          <xdr:rowOff>19050</xdr:rowOff>
        </xdr:to>
        <xdr:sp macro="" textlink="">
          <xdr:nvSpPr>
            <xdr:cNvPr id="4133" name="Check Box 37" hidden="1">
              <a:extLst>
                <a:ext uri="{63B3BB69-23CF-44E3-9099-C40C66FF867C}">
                  <a14:compatExt spid="_x0000_s41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12</xdr:row>
          <xdr:rowOff>133350</xdr:rowOff>
        </xdr:from>
        <xdr:to>
          <xdr:col>3</xdr:col>
          <xdr:colOff>66675</xdr:colOff>
          <xdr:row>14</xdr:row>
          <xdr:rowOff>19050</xdr:rowOff>
        </xdr:to>
        <xdr:sp macro="" textlink="">
          <xdr:nvSpPr>
            <xdr:cNvPr id="4134" name="Check Box 38" hidden="1">
              <a:extLst>
                <a:ext uri="{63B3BB69-23CF-44E3-9099-C40C66FF867C}">
                  <a14:compatExt spid="_x0000_s41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2</xdr:col>
      <xdr:colOff>38100</xdr:colOff>
      <xdr:row>2</xdr:row>
      <xdr:rowOff>28575</xdr:rowOff>
    </xdr:from>
    <xdr:to>
      <xdr:col>3</xdr:col>
      <xdr:colOff>920708</xdr:colOff>
      <xdr:row>3</xdr:row>
      <xdr:rowOff>196941</xdr:rowOff>
    </xdr:to>
    <xdr:pic>
      <xdr:nvPicPr>
        <xdr:cNvPr id="23" name="Picture 22" descr="adani_logo_cmyk_master.jpg"/>
        <xdr:cNvPicPr/>
      </xdr:nvPicPr>
      <xdr:blipFill>
        <a:blip xmlns:r="http://schemas.openxmlformats.org/officeDocument/2006/relationships" r:embed="rId2" cstate="print">
          <a:clrChange>
            <a:clrFrom>
              <a:srgbClr val="FFFFFE"/>
            </a:clrFrom>
            <a:clrTo>
              <a:srgbClr val="FFFFFE">
                <a:alpha val="0"/>
              </a:srgbClr>
            </a:clrTo>
          </a:clrChange>
        </a:blip>
        <a:stretch>
          <a:fillRect/>
        </a:stretch>
      </xdr:blipFill>
      <xdr:spPr>
        <a:xfrm>
          <a:off x="295275" y="333375"/>
          <a:ext cx="1177883" cy="377916"/>
        </a:xfrm>
        <a:prstGeom prst="rect">
          <a:avLst/>
        </a:prstGeom>
      </xdr:spPr>
    </xdr:pic>
    <xdr:clientData/>
  </xdr:twoCellAnchor>
  <xdr:twoCellAnchor editAs="oneCell">
    <xdr:from>
      <xdr:col>11</xdr:col>
      <xdr:colOff>25977</xdr:colOff>
      <xdr:row>6</xdr:row>
      <xdr:rowOff>86593</xdr:rowOff>
    </xdr:from>
    <xdr:to>
      <xdr:col>15</xdr:col>
      <xdr:colOff>262509</xdr:colOff>
      <xdr:row>17</xdr:row>
      <xdr:rowOff>31188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0386" y="1220934"/>
          <a:ext cx="2089578" cy="1953504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8" name="Table2" displayName="Table2" ref="AB9:AO46" totalsRowShown="0" headerRowDxfId="64" dataDxfId="63">
  <autoFilter ref="AB9:AO46"/>
  <tableColumns count="14">
    <tableColumn id="10" name="Port Desc" dataDxfId="62"/>
    <tableColumn id="4" name="Port&amp;Tariff" dataDxfId="61">
      <calculatedColumnFormula>Table2[[#This Row],[Port]]&amp;Table2[[#This Row],[Vessel Type]]&amp;Table2[[#This Row],[Services]]</calculatedColumnFormula>
    </tableColumn>
    <tableColumn id="1" name="Services" dataDxfId="60"/>
    <tableColumn id="2" name="Amt" dataDxfId="59">
      <calculatedColumnFormula>Table2[[#This Row],[Port Tariff]]/Table2[[#This Row],[Curr Rate]]</calculatedColumnFormula>
    </tableColumn>
    <tableColumn id="9" name="Curr Min Clause " dataDxfId="58" dataCellStyle="Comma">
      <calculatedColumnFormula>Table2[[#This Row],[Min Clause]]/Table2[[#This Row],[Curr Rate]]</calculatedColumnFormula>
    </tableColumn>
    <tableColumn id="3" name="Port" dataDxfId="57"/>
    <tableColumn id="6" name="Vessel Type" dataDxfId="56"/>
    <tableColumn id="5" name="Curr Rate" dataDxfId="55">
      <calculatedColumnFormula>VLOOKUP(INDEX(Table4[Curr],$J$6,1),Table4[],2,0)</calculatedColumnFormula>
    </tableColumn>
    <tableColumn id="7" name="Port Tariff" dataDxfId="54"/>
    <tableColumn id="13" name="UOM" dataDxfId="53"/>
    <tableColumn id="12" name="Tariff Curr" dataDxfId="52"/>
    <tableColumn id="8" name="Min Clause" dataDxfId="51"/>
    <tableColumn id="14" name="2nd Slab" dataDxfId="50"/>
    <tableColumn id="11" name="Actual Tariff Rmrks" dataDxfId="4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9" name="Table7" displayName="Table7" ref="X13:Y18" totalsRowShown="0" dataDxfId="48">
  <autoFilter ref="X13:Y18"/>
  <tableColumns count="2">
    <tableColumn id="1" name="Unit" dataDxfId="47"/>
    <tableColumn id="2" name="Value" dataDxfId="46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11" name="Table1" displayName="Table1" ref="V9:V13" totalsRowShown="0" dataDxfId="45">
  <autoFilter ref="V9:V13"/>
  <tableColumns count="1">
    <tableColumn id="2" name="Vessel Type" dataDxfId="44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2" name="Table4" displayName="Table4" ref="X9:Y11" totalsRowShown="0" dataDxfId="43">
  <autoFilter ref="X9:Y11"/>
  <tableColumns count="2">
    <tableColumn id="1" name="Curr" dataDxfId="42"/>
    <tableColumn id="2" name="Rate" dataDxfId="41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6" name="Table6" displayName="Table6" ref="V17:V23" totalsRowShown="0" dataDxfId="40">
  <autoFilter ref="V17:V23"/>
  <tableColumns count="1">
    <tableColumn id="1" name="Ports" dataDxfId="39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1" name="Table514" displayName="Table514" ref="Y9:AE54" totalsRowShown="0" headerRowDxfId="38" dataDxfId="37">
  <autoFilter ref="Y9:AE54"/>
  <tableColumns count="7">
    <tableColumn id="6" name="Port &amp; Service" dataDxfId="36">
      <calculatedColumnFormula>Table514[[#This Row],[Port]]&amp;Table514[[#This Row],[Misc Charges]]</calculatedColumnFormula>
    </tableColumn>
    <tableColumn id="7" name="Port" dataDxfId="35"/>
    <tableColumn id="1" name="Misc Charges" dataDxfId="34"/>
    <tableColumn id="2" name="UOM" dataDxfId="33"/>
    <tableColumn id="3" name="Amt (USD)" dataDxfId="32" dataCellStyle="Comma"/>
    <tableColumn id="4" name="Curr" dataDxfId="31" dataCellStyle="Comma"/>
    <tableColumn id="8" name="Remarks" dataDxfId="30" dataCellStyle="Comma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table" Target="../tables/table1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table" Target="../tables/table5.xml"/><Relationship Id="rId2" Type="http://schemas.openxmlformats.org/officeDocument/2006/relationships/drawing" Target="../drawings/drawing2.xml"/><Relationship Id="rId16" Type="http://schemas.openxmlformats.org/officeDocument/2006/relationships/table" Target="../tables/table4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5" Type="http://schemas.openxmlformats.org/officeDocument/2006/relationships/table" Target="../tables/table3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4.xml"/><Relationship Id="rId13" Type="http://schemas.openxmlformats.org/officeDocument/2006/relationships/ctrlProp" Target="../ctrlProps/ctrlProp19.xml"/><Relationship Id="rId18" Type="http://schemas.openxmlformats.org/officeDocument/2006/relationships/ctrlProp" Target="../ctrlProps/ctrlProp24.xml"/><Relationship Id="rId3" Type="http://schemas.openxmlformats.org/officeDocument/2006/relationships/vmlDrawing" Target="../drawings/vmlDrawing2.vml"/><Relationship Id="rId21" Type="http://schemas.openxmlformats.org/officeDocument/2006/relationships/ctrlProp" Target="../ctrlProps/ctrlProp27.xml"/><Relationship Id="rId7" Type="http://schemas.openxmlformats.org/officeDocument/2006/relationships/ctrlProp" Target="../ctrlProps/ctrlProp13.xml"/><Relationship Id="rId12" Type="http://schemas.openxmlformats.org/officeDocument/2006/relationships/ctrlProp" Target="../ctrlProps/ctrlProp18.xml"/><Relationship Id="rId17" Type="http://schemas.openxmlformats.org/officeDocument/2006/relationships/ctrlProp" Target="../ctrlProps/ctrlProp23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22.xml"/><Relationship Id="rId20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12.xml"/><Relationship Id="rId11" Type="http://schemas.openxmlformats.org/officeDocument/2006/relationships/ctrlProp" Target="../ctrlProps/ctrlProp17.xml"/><Relationship Id="rId5" Type="http://schemas.openxmlformats.org/officeDocument/2006/relationships/ctrlProp" Target="../ctrlProps/ctrlProp11.xml"/><Relationship Id="rId15" Type="http://schemas.openxmlformats.org/officeDocument/2006/relationships/ctrlProp" Target="../ctrlProps/ctrlProp21.xml"/><Relationship Id="rId10" Type="http://schemas.openxmlformats.org/officeDocument/2006/relationships/ctrlProp" Target="../ctrlProps/ctrlProp16.xml"/><Relationship Id="rId19" Type="http://schemas.openxmlformats.org/officeDocument/2006/relationships/ctrlProp" Target="../ctrlProps/ctrlProp25.xml"/><Relationship Id="rId4" Type="http://schemas.openxmlformats.org/officeDocument/2006/relationships/ctrlProp" Target="../ctrlProps/ctrlProp10.xml"/><Relationship Id="rId9" Type="http://schemas.openxmlformats.org/officeDocument/2006/relationships/ctrlProp" Target="../ctrlProps/ctrlProp15.xml"/><Relationship Id="rId14" Type="http://schemas.openxmlformats.org/officeDocument/2006/relationships/ctrlProp" Target="../ctrlProps/ctrlProp20.xml"/><Relationship Id="rId22" Type="http://schemas.openxmlformats.org/officeDocument/2006/relationships/table" Target="../tables/table6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D8"/>
  <sheetViews>
    <sheetView workbookViewId="0"/>
  </sheetViews>
  <sheetFormatPr defaultRowHeight="12.75"/>
  <cols>
    <col min="2" max="2" width="15.28515625" customWidth="1"/>
    <col min="3" max="3" width="19.28515625" customWidth="1"/>
    <col min="4" max="4" width="91.85546875" customWidth="1"/>
  </cols>
  <sheetData>
    <row r="2" spans="2:4" ht="19.5" customHeight="1">
      <c r="B2" s="76" t="s">
        <v>78</v>
      </c>
      <c r="C2" s="76" t="s">
        <v>74</v>
      </c>
      <c r="D2" s="76" t="s">
        <v>73</v>
      </c>
    </row>
    <row r="3" spans="2:4" ht="27">
      <c r="B3" s="78" t="s">
        <v>76</v>
      </c>
      <c r="C3" s="13" t="s">
        <v>36</v>
      </c>
      <c r="D3" s="75" t="s">
        <v>72</v>
      </c>
    </row>
    <row r="4" spans="2:4" ht="27">
      <c r="B4" s="78" t="s">
        <v>77</v>
      </c>
      <c r="C4" s="13" t="s">
        <v>37</v>
      </c>
      <c r="D4" s="77" t="s">
        <v>75</v>
      </c>
    </row>
    <row r="5" spans="2:4" ht="27">
      <c r="B5" s="78" t="s">
        <v>81</v>
      </c>
      <c r="C5" s="13" t="s">
        <v>79</v>
      </c>
      <c r="D5" s="77" t="s">
        <v>80</v>
      </c>
    </row>
    <row r="6" spans="2:4" ht="13.5">
      <c r="B6" s="78"/>
      <c r="C6" s="74"/>
      <c r="D6" s="74"/>
    </row>
    <row r="7" spans="2:4" ht="13.5">
      <c r="B7" s="78"/>
      <c r="C7" s="74"/>
      <c r="D7" s="74"/>
    </row>
    <row r="8" spans="2:4" ht="13.5">
      <c r="B8" s="78"/>
      <c r="C8" s="74"/>
      <c r="D8" s="74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B1:AP65"/>
  <sheetViews>
    <sheetView showGridLines="0" showRowColHeaders="0" tabSelected="1" zoomScale="110" zoomScaleNormal="110" workbookViewId="0">
      <pane xSplit="17" ySplit="26" topLeftCell="R27" activePane="bottomRight" state="frozen"/>
      <selection pane="topRight" activeCell="R1" sqref="R1"/>
      <selection pane="bottomLeft" activeCell="A27" sqref="A27"/>
      <selection pane="bottomRight"/>
    </sheetView>
  </sheetViews>
  <sheetFormatPr defaultRowHeight="12.75"/>
  <cols>
    <col min="1" max="1" width="1.28515625" customWidth="1"/>
    <col min="2" max="2" width="1.42578125" customWidth="1"/>
    <col min="3" max="3" width="5.42578125" customWidth="1"/>
    <col min="4" max="4" width="37.7109375" customWidth="1"/>
    <col min="5" max="5" width="10.5703125" customWidth="1"/>
    <col min="6" max="6" width="15.28515625" bestFit="1" customWidth="1"/>
    <col min="7" max="7" width="2.28515625" customWidth="1"/>
    <col min="8" max="8" width="14.42578125" customWidth="1"/>
    <col min="9" max="9" width="0.85546875" customWidth="1"/>
    <col min="10" max="10" width="17.85546875" bestFit="1" customWidth="1"/>
    <col min="11" max="11" width="1.85546875" customWidth="1"/>
    <col min="12" max="12" width="0.85546875" customWidth="1"/>
    <col min="13" max="13" width="27.85546875" customWidth="1"/>
    <col min="14" max="14" width="5" customWidth="1"/>
    <col min="15" max="15" width="3.5703125" customWidth="1"/>
    <col min="16" max="16" width="3.140625" customWidth="1"/>
    <col min="17" max="17" width="25.140625" customWidth="1"/>
    <col min="18" max="18" width="1.5703125" customWidth="1"/>
    <col min="19" max="19" width="11.140625" customWidth="1"/>
    <col min="20" max="20" width="10.85546875" customWidth="1"/>
    <col min="21" max="21" width="2.85546875" hidden="1" customWidth="1"/>
    <col min="22" max="22" width="14.28515625" hidden="1" customWidth="1"/>
    <col min="23" max="23" width="2.140625" hidden="1" customWidth="1"/>
    <col min="24" max="24" width="11.140625" hidden="1" customWidth="1"/>
    <col min="25" max="25" width="11.5703125" hidden="1" customWidth="1"/>
    <col min="26" max="26" width="1.85546875" hidden="1" customWidth="1"/>
    <col min="27" max="27" width="1.5703125" hidden="1" customWidth="1"/>
    <col min="28" max="28" width="10.28515625" hidden="1" customWidth="1"/>
    <col min="29" max="29" width="22.28515625" hidden="1" customWidth="1"/>
    <col min="30" max="30" width="24.140625" hidden="1" customWidth="1"/>
    <col min="31" max="32" width="12.85546875" hidden="1" customWidth="1"/>
    <col min="33" max="33" width="8.140625" hidden="1" customWidth="1"/>
    <col min="34" max="34" width="14.140625" hidden="1" customWidth="1"/>
    <col min="35" max="35" width="8.7109375" hidden="1" customWidth="1"/>
    <col min="36" max="36" width="13.85546875" hidden="1" customWidth="1"/>
    <col min="37" max="37" width="7.7109375" hidden="1" customWidth="1"/>
    <col min="38" max="38" width="12.5703125" hidden="1" customWidth="1"/>
    <col min="39" max="40" width="13.28515625" hidden="1" customWidth="1"/>
    <col min="41" max="41" width="61.42578125" hidden="1" customWidth="1"/>
    <col min="42" max="42" width="9.140625" hidden="1" customWidth="1"/>
    <col min="43" max="59" width="9.140625" customWidth="1"/>
  </cols>
  <sheetData>
    <row r="1" spans="2:41" ht="7.5" customHeight="1" thickBot="1"/>
    <row r="2" spans="2:41" ht="12.75" customHeight="1">
      <c r="B2" s="36"/>
      <c r="C2" s="37"/>
      <c r="D2" s="37"/>
      <c r="E2" s="37"/>
      <c r="F2" s="37"/>
      <c r="G2" s="37"/>
      <c r="H2" s="193"/>
      <c r="I2" s="193"/>
      <c r="J2" s="193"/>
      <c r="K2" s="37"/>
      <c r="L2" s="38"/>
      <c r="W2" s="1"/>
      <c r="Y2" s="1"/>
    </row>
    <row r="3" spans="2:41" ht="16.5" customHeight="1">
      <c r="B3" s="5"/>
      <c r="C3" s="6"/>
      <c r="D3" s="6"/>
      <c r="E3" s="7"/>
      <c r="F3" s="8" t="s">
        <v>10</v>
      </c>
      <c r="G3" s="6"/>
      <c r="H3" s="162">
        <v>1</v>
      </c>
      <c r="I3" s="6"/>
      <c r="J3" s="82" t="str">
        <f>IF(OR(J6=1,J6=2),"Update US$ rate ","")</f>
        <v xml:space="preserve">Update US$ rate </v>
      </c>
      <c r="K3" s="6"/>
      <c r="L3" s="9"/>
      <c r="W3" s="2"/>
      <c r="Y3" s="3"/>
      <c r="AI3" s="51"/>
    </row>
    <row r="4" spans="2:41" ht="15.75" customHeight="1" thickBot="1">
      <c r="B4" s="5"/>
      <c r="C4" s="6"/>
      <c r="D4" s="6"/>
      <c r="E4" s="6"/>
      <c r="F4" s="7" t="s">
        <v>63</v>
      </c>
      <c r="G4" s="6"/>
      <c r="H4" s="143">
        <v>1</v>
      </c>
      <c r="I4" s="6"/>
      <c r="J4" s="62">
        <v>0</v>
      </c>
      <c r="K4" s="6"/>
      <c r="L4" s="9"/>
      <c r="M4" s="50"/>
      <c r="W4" s="2"/>
      <c r="Y4" s="3"/>
    </row>
    <row r="5" spans="2:41" ht="14.25" thickBot="1">
      <c r="B5" s="5"/>
      <c r="C5" s="8"/>
      <c r="D5" s="7"/>
      <c r="E5" s="7"/>
      <c r="F5" s="7" t="s">
        <v>32</v>
      </c>
      <c r="G5" s="7"/>
      <c r="H5" s="179">
        <v>0</v>
      </c>
      <c r="I5" s="6"/>
      <c r="J5" s="6"/>
      <c r="K5" s="6"/>
      <c r="L5" s="9"/>
      <c r="V5" s="2"/>
      <c r="Y5" s="3"/>
      <c r="AD5" s="51"/>
    </row>
    <row r="6" spans="2:41" ht="13.5">
      <c r="B6" s="5"/>
      <c r="C6" s="8"/>
      <c r="D6" s="126" t="s">
        <v>189</v>
      </c>
      <c r="E6" s="7"/>
      <c r="F6" s="7" t="s">
        <v>68</v>
      </c>
      <c r="G6" s="7"/>
      <c r="H6" s="179">
        <v>0</v>
      </c>
      <c r="I6" s="6"/>
      <c r="J6" s="144">
        <v>1</v>
      </c>
      <c r="K6" s="6"/>
      <c r="L6" s="9"/>
      <c r="V6" s="2"/>
      <c r="Y6" s="3"/>
      <c r="AD6" s="51"/>
    </row>
    <row r="7" spans="2:41" ht="8.25" customHeight="1">
      <c r="B7" s="5"/>
      <c r="C7" s="6"/>
      <c r="D7" s="7"/>
      <c r="E7" s="7"/>
      <c r="F7" s="6"/>
      <c r="G7" s="6"/>
      <c r="H7" s="6"/>
      <c r="I7" s="6"/>
      <c r="J7" s="11"/>
      <c r="K7" s="6"/>
      <c r="L7" s="9"/>
    </row>
    <row r="8" spans="2:41" ht="27">
      <c r="B8" s="12"/>
      <c r="C8" s="191" t="s">
        <v>25</v>
      </c>
      <c r="D8" s="192"/>
      <c r="E8" s="46" t="s">
        <v>24</v>
      </c>
      <c r="F8" s="13" t="s">
        <v>36</v>
      </c>
      <c r="G8" s="45"/>
      <c r="H8" s="168" t="s">
        <v>37</v>
      </c>
      <c r="I8" s="6"/>
      <c r="J8" s="13" t="str">
        <f>"Total Service Amt
 (in "&amp;VLOOKUP(INDEX(Table4[],J6,1),Table4[],1,0)&amp;")"</f>
        <v>Total Service Amt
 (in INR)</v>
      </c>
      <c r="K8" s="6"/>
      <c r="L8" s="9"/>
      <c r="M8" s="124"/>
      <c r="X8" t="s">
        <v>33</v>
      </c>
      <c r="AB8" t="s">
        <v>85</v>
      </c>
    </row>
    <row r="9" spans="2:41" ht="13.5">
      <c r="B9" s="14" t="b">
        <v>0</v>
      </c>
      <c r="C9" s="41"/>
      <c r="D9" s="42" t="s">
        <v>27</v>
      </c>
      <c r="E9" s="16"/>
      <c r="F9" s="48" t="str">
        <f>IF(B9=TRUE,
VLOOKUP($H$3&amp;$H$4&amp;D9,Table2[[#All],[Port&amp;Tariff]:[Curr Min Clause ]],3,0),
"")</f>
        <v/>
      </c>
      <c r="G9" s="18"/>
      <c r="H9" s="19" t="str">
        <f>IF(B9=TRUE,VLOOKUP($H$3&amp;$H$4&amp;D9,Table2[[#All],[Port&amp;Tariff]:[Curr Min Clause ]],4,0),"")</f>
        <v/>
      </c>
      <c r="I9" s="6"/>
      <c r="J9" s="39" t="str">
        <f>IF(B9=TRUE,IF($H$5&lt;&gt;0,
((IF($J$6=1,$J$4,1)*MAX(F9*H$5,H9))),""),
"")</f>
        <v/>
      </c>
      <c r="K9" s="6"/>
      <c r="L9" s="9"/>
      <c r="M9" s="73"/>
      <c r="V9" t="s">
        <v>0</v>
      </c>
      <c r="X9" t="s">
        <v>13</v>
      </c>
      <c r="Y9" t="s">
        <v>1</v>
      </c>
      <c r="AB9" s="4" t="s">
        <v>66</v>
      </c>
      <c r="AC9" t="s">
        <v>23</v>
      </c>
      <c r="AD9" s="4" t="s">
        <v>2</v>
      </c>
      <c r="AE9" s="4" t="s">
        <v>3</v>
      </c>
      <c r="AF9" s="4" t="s">
        <v>4</v>
      </c>
      <c r="AG9" s="71" t="s">
        <v>62</v>
      </c>
      <c r="AH9" s="4" t="s">
        <v>0</v>
      </c>
      <c r="AI9" s="4" t="s">
        <v>5</v>
      </c>
      <c r="AJ9" s="71" t="s">
        <v>6</v>
      </c>
      <c r="AK9" s="71" t="s">
        <v>40</v>
      </c>
      <c r="AL9" s="71" t="s">
        <v>71</v>
      </c>
      <c r="AM9" s="71" t="s">
        <v>7</v>
      </c>
      <c r="AN9" s="71" t="s">
        <v>93</v>
      </c>
      <c r="AO9" s="4" t="s">
        <v>67</v>
      </c>
    </row>
    <row r="10" spans="2:41" ht="13.5">
      <c r="B10" s="14" t="b">
        <v>0</v>
      </c>
      <c r="C10" s="15"/>
      <c r="D10" s="16" t="s">
        <v>28</v>
      </c>
      <c r="E10" s="16"/>
      <c r="F10" s="48" t="str">
        <f>IF(B10=TRUE,
VLOOKUP($H$3&amp;$H$4&amp;D10,Table2[[#All],[Port&amp;Tariff]:[Curr Min Clause ]],3,0),
"")</f>
        <v/>
      </c>
      <c r="G10" s="18"/>
      <c r="H10" s="19" t="str">
        <f>IF(B10=TRUE,VLOOKUP($H$3&amp;$H$4&amp;D10,Table2[[#All],[Port&amp;Tariff]:[Curr Min Clause ]],4,0),"")</f>
        <v/>
      </c>
      <c r="I10" s="6"/>
      <c r="J10" s="39" t="str">
        <f>IF(B10=TRUE,IF($H$5&lt;&gt;0,
((IF($J$6=1,$J$4,1)*MAX(F10*H$5,H10))),""),
"")</f>
        <v/>
      </c>
      <c r="K10" s="6"/>
      <c r="L10" s="9"/>
      <c r="M10" s="83"/>
      <c r="V10" s="79" t="str">
        <f>IF(OR($H$3=1,$H$3=3,$H$3=4,$H$3=5),"All","Container")</f>
        <v>All</v>
      </c>
      <c r="X10" s="79" t="s">
        <v>57</v>
      </c>
      <c r="Y10" s="80">
        <v>1</v>
      </c>
      <c r="AB10" s="145" t="s">
        <v>52</v>
      </c>
      <c r="AC10" s="145" t="str">
        <f>Table2[[#This Row],[Port]]&amp;Table2[[#This Row],[Vessel Type]]&amp;Table2[[#This Row],[Services]]</f>
        <v>11Port Dues (per GRT)</v>
      </c>
      <c r="AD10" s="146" t="s">
        <v>27</v>
      </c>
      <c r="AE10" s="146">
        <f>Table2[[#This Row],[Port Tariff]]</f>
        <v>0.05</v>
      </c>
      <c r="AF10" s="147">
        <f>Table2[[#This Row],[Min Clause]]</f>
        <v>260</v>
      </c>
      <c r="AG10" s="148">
        <v>1</v>
      </c>
      <c r="AH10" s="148">
        <f t="shared" ref="AH10:AH46" si="0">$H$4</f>
        <v>1</v>
      </c>
      <c r="AI10" s="145">
        <f>VLOOKUP(INDEX(Table4[Curr],$J$6,1),Table4[],2,0)</f>
        <v>1</v>
      </c>
      <c r="AJ10" s="146">
        <f>Mundra!C3</f>
        <v>0.05</v>
      </c>
      <c r="AK10" s="146"/>
      <c r="AL10" s="146" t="s">
        <v>8</v>
      </c>
      <c r="AM10" s="145">
        <f>Mundra!D3</f>
        <v>260</v>
      </c>
      <c r="AN10" s="145"/>
      <c r="AO10" s="145" t="s">
        <v>51</v>
      </c>
    </row>
    <row r="11" spans="2:41" ht="14.25" thickBot="1">
      <c r="B11" s="14" t="b">
        <v>0</v>
      </c>
      <c r="C11" s="15"/>
      <c r="D11" s="16" t="str">
        <f>IF(H3=2,"Berth Hire (per GRT / 8 hrs)","Berth Hire (per GRT / Hour)")</f>
        <v>Berth Hire (per GRT / Hour)</v>
      </c>
      <c r="E11" s="20"/>
      <c r="F11" s="107" t="str">
        <f>IF(B11=TRUE,
VLOOKUP($H$3&amp;$H$4&amp;D11,Table2[[#All],[Port&amp;Tariff]:[Curr Min Clause ]],3,0),
"")</f>
        <v/>
      </c>
      <c r="G11" s="18"/>
      <c r="H11" s="19" t="str">
        <f>IF(B11=TRUE,VLOOKUP($H$3&amp;$H$4&amp;D11,Table2[[#All],[Port&amp;Tariff]:[Curr Min Clause ]],4,0),"")</f>
        <v/>
      </c>
      <c r="I11" s="6"/>
      <c r="J11" s="39" t="str">
        <f>IF(B11=TRUE,IF(AND($H$5&lt;&gt;0,$H$6&lt;&gt;6),
((IF($J$6=1,$J$4,1)*
IF(OR($H$3=1,$H$3=3,$H$3=4,$H$3=5),
(IF(H5*F11*24&lt;H11,ROUNDUP(H6/24,0)*Mundra!D7,
IF(H5*F11*H6&lt;H11,H11,ROUNDUP(H5*F11*H6,2)))),
(IF($H$3=2,MAX(H5*F11*ROUNDUP((H6/8),0),H11)))))),""),
"")</f>
        <v/>
      </c>
      <c r="K11" s="6"/>
      <c r="L11" s="9"/>
      <c r="V11" s="79" t="str">
        <f>IF(AND($V$10="All",$H$3&lt;&gt;4),"",
IF($H$3=2,"Dry",IF($H$3=4,"Non-Coal/Non-Project")))</f>
        <v/>
      </c>
      <c r="X11" s="79" t="s">
        <v>8</v>
      </c>
      <c r="Y11" s="80">
        <f>$J$4</f>
        <v>0</v>
      </c>
      <c r="AB11" s="145" t="s">
        <v>52</v>
      </c>
      <c r="AC11" s="145" t="str">
        <f>Table2[[#This Row],[Port]]&amp;Table2[[#This Row],[Vessel Type]]&amp;Table2[[#This Row],[Services]]</f>
        <v>11Pilotage (per GRT)</v>
      </c>
      <c r="AD11" s="146" t="s">
        <v>28</v>
      </c>
      <c r="AE11" s="146">
        <f>Table2[[#This Row],[Port Tariff]]</f>
        <v>0.64500000000000002</v>
      </c>
      <c r="AF11" s="147" t="str">
        <f>Table2[[#This Row],[Min Clause]]</f>
        <v/>
      </c>
      <c r="AG11" s="148">
        <v>1</v>
      </c>
      <c r="AH11" s="148">
        <f t="shared" si="0"/>
        <v>1</v>
      </c>
      <c r="AI11" s="145">
        <f>VLOOKUP(INDEX(Table4[Curr],$J$6,1),Table4[],2,0)</f>
        <v>1</v>
      </c>
      <c r="AJ11" s="145">
        <f>IF($H$5&lt;10000,Mundra!C4,Mundra!C6)</f>
        <v>0.64500000000000002</v>
      </c>
      <c r="AK11" s="145"/>
      <c r="AL11" s="145" t="s">
        <v>8</v>
      </c>
      <c r="AM11" s="145" t="str">
        <f>IF($B$10=TRUE,IF($H$5&lt;=3000,Mundra!D4,IF($H$5&lt;=9999,Mundra!D5,IF($H$5&lt;=15000,Mundra!D5,IF($H$5&lt;=19999,Mundra!D6,IF($H$5&lt;=39999,Mundra!D6,Mundra!D6))))),"")</f>
        <v/>
      </c>
      <c r="AN11" s="145"/>
      <c r="AO11" s="145" t="s">
        <v>51</v>
      </c>
    </row>
    <row r="12" spans="2:41" ht="14.25" thickBot="1">
      <c r="B12" s="14" t="b">
        <v>0</v>
      </c>
      <c r="C12" s="15"/>
      <c r="D12" s="18" t="s">
        <v>21</v>
      </c>
      <c r="E12" s="21">
        <v>0</v>
      </c>
      <c r="F12" s="120" t="str">
        <f>IF(B12=TRUE,
VLOOKUP($H$3&amp;$H$4&amp;D12,Table2[[#All],[Port&amp;Tariff]:[Curr Min Clause ]],3,0),
"")</f>
        <v/>
      </c>
      <c r="G12" s="18"/>
      <c r="H12" s="19" t="str">
        <f>IF(B12=TRUE,VLOOKUP($H$3&amp;$H$4&amp;D12,Table2[[#All],[Port&amp;Tariff]:[Curr Min Clause ]],4,0),"")</f>
        <v/>
      </c>
      <c r="I12" s="6"/>
      <c r="J12" s="39" t="str">
        <f>IF(B12=TRUE,IF(AND($H$5&lt;&gt;0,E12&lt;&gt;0),
((IF($J$6=1,$J$4,1)*MAX(F12*E12*H$5,H12))),""),
"")</f>
        <v/>
      </c>
      <c r="K12" s="6"/>
      <c r="L12" s="9"/>
      <c r="M12" s="73"/>
      <c r="V12" s="79" t="str">
        <f>IF($V$10="All","",
IF(OR($H$3=1,$H$3=3,$H$3=4,$H$3=5),"All","Tanker"))</f>
        <v/>
      </c>
      <c r="AB12" s="145" t="s">
        <v>52</v>
      </c>
      <c r="AC12" s="145" t="str">
        <f>Table2[[#This Row],[Port]]&amp;Table2[[#This Row],[Vessel Type]]&amp;Table2[[#This Row],[Services]]</f>
        <v>11Berth Hire (per GRT / Hour)</v>
      </c>
      <c r="AD12" s="146" t="s">
        <v>29</v>
      </c>
      <c r="AE12" s="146">
        <f>Table2[[#This Row],[Port Tariff]]</f>
        <v>8.3999999999999995E-3</v>
      </c>
      <c r="AF12" s="147">
        <f>Table2[[#This Row],[Min Clause]]</f>
        <v>590</v>
      </c>
      <c r="AG12" s="148">
        <v>1</v>
      </c>
      <c r="AH12" s="148">
        <f t="shared" si="0"/>
        <v>1</v>
      </c>
      <c r="AI12" s="145">
        <f>VLOOKUP(INDEX(Table4[Curr],$J$6,1),Table4[],2,0)</f>
        <v>1</v>
      </c>
      <c r="AJ12" s="145">
        <f>Mundra!C7</f>
        <v>8.3999999999999995E-3</v>
      </c>
      <c r="AK12" s="145"/>
      <c r="AL12" s="145" t="s">
        <v>8</v>
      </c>
      <c r="AM12" s="145">
        <f>Mundra!D7</f>
        <v>590</v>
      </c>
      <c r="AN12" s="145"/>
      <c r="AO12" s="145" t="s">
        <v>89</v>
      </c>
    </row>
    <row r="13" spans="2:41" ht="14.25" thickBot="1">
      <c r="B13" s="14" t="b">
        <v>0</v>
      </c>
      <c r="C13" s="15"/>
      <c r="D13" s="18" t="s">
        <v>22</v>
      </c>
      <c r="E13" s="21">
        <v>0</v>
      </c>
      <c r="F13" s="49" t="str">
        <f>IF(B13=TRUE,
VLOOKUP($H$3&amp;$H$4&amp;D13,Table2[[#All],[Port&amp;Tariff]:[Curr Min Clause ]],3,0),
"")</f>
        <v/>
      </c>
      <c r="G13" s="18"/>
      <c r="H13" s="19" t="str">
        <f>IF(B13=TRUE,VLOOKUP($H$3&amp;$H$4&amp;D13,Table2[[#All],[Port&amp;Tariff]:[Curr Min Clause ]],4,0),"")</f>
        <v/>
      </c>
      <c r="I13" s="6"/>
      <c r="J13" s="39" t="str">
        <f>IF(AND($B$13=TRUE,$E$13&lt;&gt;0),
(   IF($J$6=1,$J$4,1)*
IF($H$3=3,ROUNDUP(E13/0.5,0)*F13,
IF($H$3=4,ROUNDUP(E13,0)*F13,
IF($H$3=5,(IF(E13&lt;=4,F13,ROUNDUP(E13-4,0)*VLOOKUP($H$3&amp;$H$4&amp;D13,Table2[[#All],[Port&amp;Tariff]:[2nd Slab]],12,0)+F13)),
(IF(E13&lt;=5,F13,ROUNDUP(E13-5,0)*VLOOKUP($H$3&amp;$H$4&amp;D13,Table2[[#All],[Port&amp;Tariff]:[2nd Slab]],12,0)+F13)))))   ),
"")</f>
        <v/>
      </c>
      <c r="K13" s="6"/>
      <c r="L13" s="9"/>
      <c r="M13" s="83"/>
      <c r="V13" s="79" t="str">
        <f>IF($V$10="All","",
IF(OR($H$3=1,$H$3=3,$H$3=4,$H$3=5),"All","LNG"))</f>
        <v/>
      </c>
      <c r="X13" s="4" t="s">
        <v>11</v>
      </c>
      <c r="Y13" s="4" t="s">
        <v>12</v>
      </c>
      <c r="AB13" s="145" t="s">
        <v>52</v>
      </c>
      <c r="AC13" s="145" t="str">
        <f>Table2[[#This Row],[Port]]&amp;Table2[[#This Row],[Vessel Type]]&amp;Table2[[#This Row],[Services]]</f>
        <v>11Anchorage (in hours)</v>
      </c>
      <c r="AD13" s="146" t="s">
        <v>9</v>
      </c>
      <c r="AE13" s="146">
        <f>Table2[[#This Row],[Port Tariff]]</f>
        <v>9.3999999999999997E-4</v>
      </c>
      <c r="AF13" s="147">
        <f>Table2[[#This Row],[Min Clause]]</f>
        <v>0</v>
      </c>
      <c r="AG13" s="148">
        <v>1</v>
      </c>
      <c r="AH13" s="148">
        <f t="shared" si="0"/>
        <v>1</v>
      </c>
      <c r="AI13" s="145">
        <f>VLOOKUP(INDEX(Table4[Curr],$J$6,1),Table4[],2,0)</f>
        <v>1</v>
      </c>
      <c r="AJ13" s="145">
        <f>Mundra!C8</f>
        <v>9.3999999999999997E-4</v>
      </c>
      <c r="AK13" s="145" t="s">
        <v>83</v>
      </c>
      <c r="AL13" s="145" t="s">
        <v>8</v>
      </c>
      <c r="AM13" s="145">
        <f>Mundra!D8</f>
        <v>0</v>
      </c>
      <c r="AN13" s="145"/>
      <c r="AO13" s="145" t="s">
        <v>86</v>
      </c>
    </row>
    <row r="14" spans="2:41" ht="13.5">
      <c r="B14" s="14" t="b">
        <v>0</v>
      </c>
      <c r="C14" s="15"/>
      <c r="D14" s="18" t="s">
        <v>30</v>
      </c>
      <c r="E14" s="21">
        <v>0</v>
      </c>
      <c r="F14" s="17" t="str">
        <f>IF(B14=TRUE,
VLOOKUP($H$3&amp;$H$4&amp;D14,Table2[[#All],[Port&amp;Tariff]:[Curr Min Clause ]],3,0),
"")</f>
        <v/>
      </c>
      <c r="G14" s="18"/>
      <c r="H14" s="19" t="str">
        <f>IF(B14=TRUE,VLOOKUP($H$3&amp;$H$4&amp;D14,Table2[[#All],[Port&amp;Tariff]:[Curr Min Clause ]],4,0),"")</f>
        <v/>
      </c>
      <c r="I14" s="6"/>
      <c r="J14" s="39" t="str">
        <f>IF(B14=TRUE,(IF(J6=1,J4,1)*
(ROUNDUP(E14,0)*F14)
),"")</f>
        <v/>
      </c>
      <c r="K14" s="6"/>
      <c r="L14" s="9"/>
      <c r="X14" s="79" t="s">
        <v>17</v>
      </c>
      <c r="Y14" s="79">
        <v>1</v>
      </c>
      <c r="AB14" s="145" t="s">
        <v>52</v>
      </c>
      <c r="AC14" s="145" t="str">
        <f>Table2[[#This Row],[Port]]&amp;Table2[[#This Row],[Vessel Type]]&amp;Table2[[#This Row],[Services]]</f>
        <v>11Tug for Transportation (in hours)</v>
      </c>
      <c r="AD14" s="149" t="s">
        <v>15</v>
      </c>
      <c r="AE14" s="146">
        <f>Table2[[#This Row],[Port Tariff]]</f>
        <v>1755</v>
      </c>
      <c r="AF14" s="147">
        <f>Table2[[#This Row],[Min Clause]]</f>
        <v>0</v>
      </c>
      <c r="AG14" s="148">
        <v>1</v>
      </c>
      <c r="AH14" s="148">
        <f t="shared" si="0"/>
        <v>1</v>
      </c>
      <c r="AI14" s="145">
        <f>VLOOKUP(INDEX(Table4[Curr],$J$6,1),Table4[],2,0)</f>
        <v>1</v>
      </c>
      <c r="AJ14" s="145">
        <f>Mundra!C9</f>
        <v>1755</v>
      </c>
      <c r="AK14" s="145"/>
      <c r="AL14" s="145" t="s">
        <v>8</v>
      </c>
      <c r="AM14" s="145">
        <f>Mundra!D9</f>
        <v>0</v>
      </c>
      <c r="AN14" s="145">
        <v>440</v>
      </c>
      <c r="AO14" s="145" t="s">
        <v>92</v>
      </c>
    </row>
    <row r="15" spans="2:41" ht="13.5">
      <c r="B15" s="14"/>
      <c r="C15" s="15"/>
      <c r="D15" s="18"/>
      <c r="E15" s="25"/>
      <c r="F15" s="17"/>
      <c r="G15" s="18"/>
      <c r="H15" s="19"/>
      <c r="I15" s="6"/>
      <c r="J15" s="39"/>
      <c r="K15" s="6"/>
      <c r="L15" s="9"/>
      <c r="M15" s="2"/>
      <c r="X15" s="79" t="s">
        <v>16</v>
      </c>
      <c r="Y15" s="79">
        <v>100000</v>
      </c>
      <c r="AB15" s="145" t="s">
        <v>52</v>
      </c>
      <c r="AC15" s="145" t="str">
        <f>Table2[[#This Row],[Port]]&amp;Table2[[#This Row],[Vessel Type]]&amp;Table2[[#This Row],[Services]]</f>
        <v>11Additional Tug for pilotage (in hours)</v>
      </c>
      <c r="AD15" s="146" t="s">
        <v>31</v>
      </c>
      <c r="AE15" s="146">
        <f>Table2[[#This Row],[Port Tariff]]</f>
        <v>800</v>
      </c>
      <c r="AF15" s="147">
        <f>Table2[[#This Row],[Min Clause]]</f>
        <v>0</v>
      </c>
      <c r="AG15" s="148">
        <v>1</v>
      </c>
      <c r="AH15" s="148">
        <f t="shared" si="0"/>
        <v>1</v>
      </c>
      <c r="AI15" s="145">
        <f>VLOOKUP(INDEX(Table4[Curr],$J$6,1),Table4[],2,0)</f>
        <v>1</v>
      </c>
      <c r="AJ15" s="145">
        <v>800</v>
      </c>
      <c r="AK15" s="145"/>
      <c r="AL15" s="145" t="s">
        <v>8</v>
      </c>
      <c r="AM15" s="145"/>
      <c r="AN15" s="145"/>
      <c r="AO15" s="145"/>
    </row>
    <row r="16" spans="2:41" ht="21" customHeight="1">
      <c r="B16" s="14"/>
      <c r="C16" s="15"/>
      <c r="D16" s="53"/>
      <c r="E16" s="25"/>
      <c r="F16" s="17"/>
      <c r="G16" s="18"/>
      <c r="H16" s="19"/>
      <c r="I16" s="6"/>
      <c r="J16" s="59">
        <f>'Addnl Services'!I19</f>
        <v>0</v>
      </c>
      <c r="K16" s="6"/>
      <c r="L16" s="9"/>
      <c r="X16" s="79" t="s">
        <v>18</v>
      </c>
      <c r="Y16" s="81">
        <f>10*100000</f>
        <v>1000000</v>
      </c>
      <c r="AB16" s="145" t="s">
        <v>58</v>
      </c>
      <c r="AC16" s="145" t="str">
        <f>Table2[[#This Row],[Port]]&amp;Table2[[#This Row],[Vessel Type]]&amp;Table2[[#This Row],[Services]]</f>
        <v>21Port Dues (per GRT)</v>
      </c>
      <c r="AD16" s="149" t="s">
        <v>27</v>
      </c>
      <c r="AE16" s="146" t="str">
        <f>Table2[[#This Row],[Port Tariff]]</f>
        <v/>
      </c>
      <c r="AF16" s="147" t="str">
        <f>Table2[[#This Row],[Min Clause]]</f>
        <v/>
      </c>
      <c r="AG16" s="148">
        <v>2</v>
      </c>
      <c r="AH16" s="148">
        <f t="shared" si="0"/>
        <v>1</v>
      </c>
      <c r="AI16" s="145">
        <f>VLOOKUP(INDEX(Table4[Curr],$J$6,1),Table4[],2,0)</f>
        <v>1</v>
      </c>
      <c r="AJ16" s="145" t="str">
        <f>IF($B$9=TRUE,IF(OR(Table2[[#This Row],[Vessel Type]]=1,Table2[[#This Row],[Vessel Type]]=2,Table2[[#This Row],[Vessel Type]]=3),Hazira!C9,Hazira!C4),"")</f>
        <v/>
      </c>
      <c r="AK16" s="145"/>
      <c r="AL16" s="145" t="s">
        <v>8</v>
      </c>
      <c r="AM16" s="145" t="str">
        <f>IF($B$9=TRUE,Hazira!D9,"")</f>
        <v/>
      </c>
      <c r="AN16" s="145"/>
      <c r="AO16" s="145" t="s">
        <v>51</v>
      </c>
    </row>
    <row r="17" spans="2:41" ht="13.5">
      <c r="B17" s="12"/>
      <c r="C17" s="15"/>
      <c r="D17" s="22"/>
      <c r="E17" s="23"/>
      <c r="F17" s="52" t="str">
        <f>IF(B17=TRUE,VLOOKUP(#REF!&amp;D17,$AC$9:$AE$46,3,0),"")</f>
        <v/>
      </c>
      <c r="G17" s="18"/>
      <c r="H17" s="24"/>
      <c r="I17" s="6"/>
      <c r="J17" s="40"/>
      <c r="K17" s="6"/>
      <c r="L17" s="9"/>
      <c r="V17" t="s">
        <v>14</v>
      </c>
      <c r="X17" s="79" t="s">
        <v>19</v>
      </c>
      <c r="Y17" s="79">
        <f>100*100000</f>
        <v>10000000</v>
      </c>
      <c r="AB17" s="150" t="s">
        <v>58</v>
      </c>
      <c r="AC17" s="150" t="str">
        <f>Table2[[#This Row],[Port]]&amp;Table2[[#This Row],[Vessel Type]]&amp;Table2[[#This Row],[Services]]</f>
        <v>21Pilotage (per GRT)</v>
      </c>
      <c r="AD17" s="151" t="s">
        <v>28</v>
      </c>
      <c r="AE17" s="146" t="str">
        <f>Table2[[#This Row],[Port Tariff]]</f>
        <v/>
      </c>
      <c r="AF17" s="147" t="str">
        <f>Table2[[#This Row],[Min Clause]]</f>
        <v/>
      </c>
      <c r="AG17" s="148">
        <v>2</v>
      </c>
      <c r="AH17" s="148">
        <f t="shared" si="0"/>
        <v>1</v>
      </c>
      <c r="AI17" s="145">
        <f>VLOOKUP(INDEX(Table4[Curr],$J$6,1),Table4[],2,0)</f>
        <v>1</v>
      </c>
      <c r="AJ17" s="145" t="str">
        <f>IF($B$10=TRUE,
IF(Table2[[#This Row],[Vessel Type]]=1,Hazira!C13,
IF(AND(Table2[[#This Row],[Vessel Type]]=3,$H$5&lt;=25000),Hazira!C14,
IF(AND(Table2[[#This Row],[Vessel Type]]=3,$H$5&gt;25000),Hazira!C16,
IF(Table2[[#This Row],[Vessel Type]]=4,Hazira!C5,Hazira!C10)))),"")</f>
        <v/>
      </c>
      <c r="AK17" s="145"/>
      <c r="AL17" s="145" t="s">
        <v>8</v>
      </c>
      <c r="AM17" s="145" t="str">
        <f>IF($B$10=TRUE, (
IF(Table2[[#This Row],[Vessel Type]]=1, Hazira!D13,
IF(Table2[[#This Row],[Vessel Type]]=2,(IF($H$5&lt;=3000,Hazira!D10,IF($H$5&lt;=15000,Hazira!D11,IF($H$5&lt;=60000,Hazira!D12)))),
IF(Table2[[#This Row],[Vessel Type]]=3,(IF($H$5&lt;=15000,Hazira!D14,IF($H$5&lt;=25000,Hazira!D15,Hazira!D159))))))),
"")</f>
        <v/>
      </c>
      <c r="AN17" s="145"/>
      <c r="AO17" s="145" t="s">
        <v>51</v>
      </c>
    </row>
    <row r="18" spans="2:41" ht="13.5">
      <c r="B18" s="5"/>
      <c r="C18" s="15"/>
      <c r="D18" s="188" t="s">
        <v>26</v>
      </c>
      <c r="E18" s="25"/>
      <c r="F18" s="25"/>
      <c r="G18" s="18"/>
      <c r="H18" s="26"/>
      <c r="I18" s="6"/>
      <c r="J18" s="183">
        <f>SUM(J9:J17)</f>
        <v>0</v>
      </c>
      <c r="K18" s="6"/>
      <c r="L18" s="9"/>
      <c r="V18" s="79" t="s">
        <v>52</v>
      </c>
      <c r="X18" s="79" t="s">
        <v>20</v>
      </c>
      <c r="Y18" s="81">
        <f>10*10000000</f>
        <v>100000000</v>
      </c>
      <c r="AB18" s="145" t="s">
        <v>58</v>
      </c>
      <c r="AC18" s="145" t="str">
        <f>Table2[[#This Row],[Port]]&amp;Table2[[#This Row],[Vessel Type]]&amp;Table2[[#This Row],[Services]]</f>
        <v>21Berth Hire (per GRT / 8 hrs)</v>
      </c>
      <c r="AD18" s="149" t="s">
        <v>212</v>
      </c>
      <c r="AE18" s="146" t="str">
        <f>Table2[[#This Row],[Port Tariff]]</f>
        <v/>
      </c>
      <c r="AF18" s="147">
        <f>Table2[[#This Row],[Min Clause]]</f>
        <v>438.6</v>
      </c>
      <c r="AG18" s="148">
        <v>2</v>
      </c>
      <c r="AH18" s="148">
        <f t="shared" si="0"/>
        <v>1</v>
      </c>
      <c r="AI18" s="145">
        <f>VLOOKUP(INDEX(Table4[Curr],$J$6,1),Table4[],2,0)</f>
        <v>1</v>
      </c>
      <c r="AJ18" s="145" t="str">
        <f>IF($B$11=TRUE,
IF(AND(Table2[[#This Row],[Vessel Type]]=3,$H$5&lt;25000),Hazira!C18,Hazira!C17),
"")</f>
        <v/>
      </c>
      <c r="AK18" s="145"/>
      <c r="AL18" s="145" t="s">
        <v>8</v>
      </c>
      <c r="AM18" s="145">
        <f>Hazira!D17</f>
        <v>438.6</v>
      </c>
      <c r="AN18" s="145"/>
      <c r="AO18" s="152" t="s">
        <v>69</v>
      </c>
    </row>
    <row r="19" spans="2:41" ht="13.5">
      <c r="B19" s="5"/>
      <c r="C19" s="15"/>
      <c r="D19" s="187" t="s">
        <v>213</v>
      </c>
      <c r="E19" s="27"/>
      <c r="F19" s="27"/>
      <c r="G19" s="18"/>
      <c r="H19" s="24"/>
      <c r="I19" s="6"/>
      <c r="J19" s="184">
        <f>J18*0%</f>
        <v>0</v>
      </c>
      <c r="K19" s="6"/>
      <c r="L19" s="9"/>
      <c r="V19" s="79" t="s">
        <v>58</v>
      </c>
      <c r="AB19" s="145" t="s">
        <v>58</v>
      </c>
      <c r="AC19" s="145" t="str">
        <f>Table2[[#This Row],[Port]]&amp;Table2[[#This Row],[Vessel Type]]&amp;Table2[[#This Row],[Services]]</f>
        <v>21Anchorage (in hours)</v>
      </c>
      <c r="AD19" s="153" t="s">
        <v>9</v>
      </c>
      <c r="AE19" s="146">
        <f>Table2[[#This Row],[Port Tariff]]</f>
        <v>9.3999999999999997E-4</v>
      </c>
      <c r="AF19" s="147">
        <f>Table2[[#This Row],[Min Clause]]</f>
        <v>0</v>
      </c>
      <c r="AG19" s="154">
        <v>2</v>
      </c>
      <c r="AH19" s="148">
        <f t="shared" si="0"/>
        <v>1</v>
      </c>
      <c r="AI19" s="145">
        <f>VLOOKUP(INDEX(Table4[Curr],$J$6,1),Table4[],2,0)</f>
        <v>1</v>
      </c>
      <c r="AJ19" s="145">
        <f>Hazira!C19</f>
        <v>9.3999999999999997E-4</v>
      </c>
      <c r="AK19" s="145" t="s">
        <v>84</v>
      </c>
      <c r="AL19" s="145" t="s">
        <v>8</v>
      </c>
      <c r="AM19" s="145"/>
      <c r="AN19" s="145"/>
      <c r="AO19" s="145" t="s">
        <v>82</v>
      </c>
    </row>
    <row r="20" spans="2:41" ht="13.5">
      <c r="B20" s="5"/>
      <c r="C20" s="28"/>
      <c r="D20" s="29" t="s">
        <v>214</v>
      </c>
      <c r="E20" s="29"/>
      <c r="F20" s="29"/>
      <c r="G20" s="30"/>
      <c r="H20" s="31"/>
      <c r="I20" s="6"/>
      <c r="J20" s="35">
        <f>ROUND(J18+J19,0)</f>
        <v>0</v>
      </c>
      <c r="K20" s="6"/>
      <c r="L20" s="9"/>
      <c r="V20" s="79" t="s">
        <v>54</v>
      </c>
      <c r="AB20" s="145" t="s">
        <v>54</v>
      </c>
      <c r="AC20" s="155" t="str">
        <f>Table2[[#This Row],[Port]]&amp;Table2[[#This Row],[Vessel Type]]&amp;Table2[[#This Row],[Services]]</f>
        <v>31Port Dues (per GRT)</v>
      </c>
      <c r="AD20" s="156" t="s">
        <v>27</v>
      </c>
      <c r="AE20" s="146">
        <f>Table2[[#This Row],[Port Tariff]]</f>
        <v>0.05</v>
      </c>
      <c r="AF20" s="147">
        <f>Table2[[#This Row],[Min Clause]]</f>
        <v>0</v>
      </c>
      <c r="AG20" s="157">
        <v>3</v>
      </c>
      <c r="AH20" s="148">
        <f t="shared" si="0"/>
        <v>1</v>
      </c>
      <c r="AI20" s="145">
        <f>VLOOKUP(INDEX(Table4[Curr],$J$6,1),Table4[],2,0)</f>
        <v>1</v>
      </c>
      <c r="AJ20" s="145">
        <f>Dhamra!C3</f>
        <v>0.05</v>
      </c>
      <c r="AK20" s="145"/>
      <c r="AL20" s="145" t="s">
        <v>8</v>
      </c>
      <c r="AM20" s="145">
        <f>Dhamra!D3</f>
        <v>0</v>
      </c>
      <c r="AN20" s="145"/>
      <c r="AO20" s="145" t="s">
        <v>51</v>
      </c>
    </row>
    <row r="21" spans="2:41" ht="13.5">
      <c r="B21" s="5"/>
      <c r="C21" s="186" t="s">
        <v>216</v>
      </c>
      <c r="D21" s="7"/>
      <c r="E21" s="185"/>
      <c r="F21" s="185"/>
      <c r="G21" s="7"/>
      <c r="H21" s="7"/>
      <c r="I21" s="6"/>
      <c r="J21" s="10"/>
      <c r="K21" s="6"/>
      <c r="L21" s="9"/>
      <c r="M21" s="72"/>
      <c r="V21" s="79" t="s">
        <v>60</v>
      </c>
      <c r="AB21" s="145" t="s">
        <v>54</v>
      </c>
      <c r="AC21" s="155" t="str">
        <f>Table2[[#This Row],[Port]]&amp;Table2[[#This Row],[Vessel Type]]&amp;Table2[[#This Row],[Services]]</f>
        <v>31Pilotage (per GRT)</v>
      </c>
      <c r="AD21" s="156" t="s">
        <v>28</v>
      </c>
      <c r="AE21" s="146">
        <f>Table2[[#This Row],[Port Tariff]]</f>
        <v>1.9731000000000001</v>
      </c>
      <c r="AF21" s="147">
        <f>Table2[[#This Row],[Min Clause]]</f>
        <v>0</v>
      </c>
      <c r="AG21" s="157">
        <v>3</v>
      </c>
      <c r="AH21" s="148">
        <f t="shared" si="0"/>
        <v>1</v>
      </c>
      <c r="AI21" s="145">
        <f>VLOOKUP(INDEX(Table4[Curr],$J$6,1),Table4[],2,0)</f>
        <v>1</v>
      </c>
      <c r="AJ21" s="145">
        <f>IF($H$5&lt;60000,Dhamra!C4,Dhamra!C5)</f>
        <v>1.9731000000000001</v>
      </c>
      <c r="AK21" s="145"/>
      <c r="AL21" s="145" t="s">
        <v>8</v>
      </c>
      <c r="AM21" s="158"/>
      <c r="AN21" s="158"/>
      <c r="AO21" s="145" t="s">
        <v>51</v>
      </c>
    </row>
    <row r="22" spans="2:41" ht="13.5">
      <c r="B22" s="5"/>
      <c r="C22" s="137" t="s">
        <v>202</v>
      </c>
      <c r="D22" s="7"/>
      <c r="E22" s="43"/>
      <c r="F22" s="47"/>
      <c r="G22" s="7"/>
      <c r="H22" s="60"/>
      <c r="I22" s="60"/>
      <c r="J22" s="60"/>
      <c r="K22" s="6"/>
      <c r="L22" s="9"/>
      <c r="V22" s="79" t="s">
        <v>195</v>
      </c>
      <c r="AB22" s="145" t="s">
        <v>54</v>
      </c>
      <c r="AC22" s="145" t="str">
        <f>Table2[[#This Row],[Port]]&amp;Table2[[#This Row],[Vessel Type]]&amp;Table2[[#This Row],[Services]]</f>
        <v>31Berth Hire (per GRT / Hour)</v>
      </c>
      <c r="AD22" s="156" t="s">
        <v>29</v>
      </c>
      <c r="AE22" s="146">
        <f>Table2[[#This Row],[Port Tariff]]</f>
        <v>0.01</v>
      </c>
      <c r="AF22" s="147">
        <f>Table2[[#This Row],[Min Clause]]</f>
        <v>0</v>
      </c>
      <c r="AG22" s="157">
        <v>3</v>
      </c>
      <c r="AH22" s="148">
        <f t="shared" si="0"/>
        <v>1</v>
      </c>
      <c r="AI22" s="145">
        <f>VLOOKUP(INDEX(Table4[Curr],$J$6,1),Table4[],2,0)</f>
        <v>1</v>
      </c>
      <c r="AJ22" s="145">
        <f>IF($H$5&lt;60000,Dhamra!C6,Dhamra!C7)</f>
        <v>0.01</v>
      </c>
      <c r="AK22" s="145"/>
      <c r="AL22" s="145" t="s">
        <v>8</v>
      </c>
      <c r="AM22" s="145">
        <v>0</v>
      </c>
      <c r="AN22" s="145"/>
      <c r="AO22" s="145" t="s">
        <v>89</v>
      </c>
    </row>
    <row r="23" spans="2:41" ht="13.5">
      <c r="B23" s="5"/>
      <c r="C23" s="137" t="s">
        <v>196</v>
      </c>
      <c r="D23" s="7"/>
      <c r="E23" s="43"/>
      <c r="F23" s="47"/>
      <c r="G23" s="44"/>
      <c r="H23" s="44"/>
      <c r="I23" s="6"/>
      <c r="J23" s="44"/>
      <c r="K23" s="6"/>
      <c r="L23" s="9"/>
      <c r="V23" s="79"/>
      <c r="AB23" s="145" t="s">
        <v>54</v>
      </c>
      <c r="AC23" s="145" t="str">
        <f>Table2[[#This Row],[Port]]&amp;Table2[[#This Row],[Vessel Type]]&amp;Table2[[#This Row],[Services]]</f>
        <v>31Anchorage (in hours)</v>
      </c>
      <c r="AD23" s="149" t="s">
        <v>9</v>
      </c>
      <c r="AE23" s="147">
        <f>Table2[[#This Row],[Port Tariff]]/24</f>
        <v>4.1666666666666665E-5</v>
      </c>
      <c r="AF23" s="147">
        <f>Table2[[#This Row],[Min Clause]]</f>
        <v>0</v>
      </c>
      <c r="AG23" s="157">
        <v>3</v>
      </c>
      <c r="AH23" s="148">
        <f t="shared" si="0"/>
        <v>1</v>
      </c>
      <c r="AI23" s="145">
        <f>VLOOKUP(INDEX(Table4[Curr],$J$6,1),Table4[],2,0)</f>
        <v>1</v>
      </c>
      <c r="AJ23" s="145">
        <f>Dhamra!C8</f>
        <v>1E-3</v>
      </c>
      <c r="AK23" s="145" t="s">
        <v>84</v>
      </c>
      <c r="AL23" s="145" t="s">
        <v>8</v>
      </c>
      <c r="AM23" s="145">
        <v>0</v>
      </c>
      <c r="AN23" s="145"/>
      <c r="AO23" s="145" t="s">
        <v>87</v>
      </c>
    </row>
    <row r="24" spans="2:41" ht="14.25" thickBot="1">
      <c r="B24" s="32"/>
      <c r="C24" s="33"/>
      <c r="D24" s="33"/>
      <c r="E24" s="33"/>
      <c r="F24" s="33"/>
      <c r="G24" s="33"/>
      <c r="H24" s="33"/>
      <c r="I24" s="33"/>
      <c r="J24" s="70"/>
      <c r="K24" s="33"/>
      <c r="L24" s="34"/>
      <c r="AB24" s="145" t="s">
        <v>60</v>
      </c>
      <c r="AC24" s="145" t="str">
        <f>Table2[[#This Row],[Port]]&amp;Table2[[#This Row],[Vessel Type]]&amp;Table2[[#This Row],[Services]]</f>
        <v>41Port Dues (per GRT)</v>
      </c>
      <c r="AD24" s="156" t="s">
        <v>27</v>
      </c>
      <c r="AE24" s="146">
        <f>Table2[[#This Row],[Port Tariff]]</f>
        <v>0.2</v>
      </c>
      <c r="AF24" s="147">
        <f>Table2[[#This Row],[Min Clause]]</f>
        <v>1200</v>
      </c>
      <c r="AG24" s="157">
        <v>4</v>
      </c>
      <c r="AH24" s="148">
        <f t="shared" si="0"/>
        <v>1</v>
      </c>
      <c r="AI24" s="145">
        <f>VLOOKUP(INDEX(Table4[Curr],$J$6,1),Table4[],2,0)</f>
        <v>1</v>
      </c>
      <c r="AJ24" s="145">
        <f>Dahej!C3</f>
        <v>0.2</v>
      </c>
      <c r="AK24" s="145"/>
      <c r="AL24" s="145" t="s">
        <v>8</v>
      </c>
      <c r="AM24" s="145">
        <f>Dahej!D3</f>
        <v>1200</v>
      </c>
      <c r="AN24" s="145"/>
      <c r="AO24" s="145" t="s">
        <v>51</v>
      </c>
    </row>
    <row r="25" spans="2:41">
      <c r="J25" s="72"/>
      <c r="O25" s="176"/>
      <c r="AB25" s="145" t="s">
        <v>60</v>
      </c>
      <c r="AC25" s="145" t="str">
        <f>Table2[[#This Row],[Port]]&amp;Table2[[#This Row],[Vessel Type]]&amp;Table2[[#This Row],[Services]]</f>
        <v>41Pilotage (per GRT)</v>
      </c>
      <c r="AD25" s="156" t="s">
        <v>28</v>
      </c>
      <c r="AE25" s="146">
        <f>Table2[[#This Row],[Port Tariff]]</f>
        <v>1.46</v>
      </c>
      <c r="AF25" s="147">
        <f>Table2[[#This Row],[Min Clause]]</f>
        <v>900</v>
      </c>
      <c r="AG25" s="157">
        <v>4</v>
      </c>
      <c r="AH25" s="148">
        <f t="shared" si="0"/>
        <v>1</v>
      </c>
      <c r="AI25" s="145">
        <f>VLOOKUP(INDEX(Table4[Curr],$J$6,1),Table4[],2,0)</f>
        <v>1</v>
      </c>
      <c r="AJ25" s="159">
        <f>IF(AND($H$5&lt;35000,Table2[[#This Row],[Vessel Type]]=2),Dahej!C5,Dahej!C4)</f>
        <v>1.46</v>
      </c>
      <c r="AK25" s="145"/>
      <c r="AL25" s="145" t="s">
        <v>8</v>
      </c>
      <c r="AM25" s="145">
        <f>IF(AND($H$5&lt;35000,Table2[[#This Row],[Vessel Type]]=2),Dahej!D5,Dahej!D4)</f>
        <v>900</v>
      </c>
      <c r="AN25" s="145"/>
      <c r="AO25" s="145" t="s">
        <v>51</v>
      </c>
    </row>
    <row r="26" spans="2:41" ht="19.5" customHeight="1">
      <c r="AB26" s="145" t="s">
        <v>60</v>
      </c>
      <c r="AC26" s="145" t="str">
        <f>Table2[[#This Row],[Port]]&amp;Table2[[#This Row],[Vessel Type]]&amp;Table2[[#This Row],[Services]]</f>
        <v>41Berth Hire (per GRT / Hour)</v>
      </c>
      <c r="AD26" s="156" t="s">
        <v>29</v>
      </c>
      <c r="AE26" s="146">
        <f>Table2[[#This Row],[Port Tariff]]</f>
        <v>1.8149999999999999E-2</v>
      </c>
      <c r="AF26" s="147">
        <f>Table2[[#This Row],[Min Clause]]</f>
        <v>800</v>
      </c>
      <c r="AG26" s="157">
        <v>4</v>
      </c>
      <c r="AH26" s="148">
        <f t="shared" si="0"/>
        <v>1</v>
      </c>
      <c r="AI26" s="145">
        <f>VLOOKUP(INDEX(Table4[Curr],$J$6,1),Table4[],2,0)</f>
        <v>1</v>
      </c>
      <c r="AJ26" s="145">
        <f>IF(AND($H$5&lt;35000,Table2[[#This Row],[Vessel Type]]=2),Dahej!C7,Dahej!C6)</f>
        <v>1.8149999999999999E-2</v>
      </c>
      <c r="AK26" s="145"/>
      <c r="AL26" s="145" t="s">
        <v>8</v>
      </c>
      <c r="AM26" s="145">
        <f>IF(AND($H$5&lt;35000,Table2[[#This Row],[Vessel Type]]=2),Dahej!D7,Dahej!D6)</f>
        <v>800</v>
      </c>
      <c r="AN26" s="145"/>
      <c r="AO26" s="145"/>
    </row>
    <row r="27" spans="2:41" ht="7.5" customHeight="1">
      <c r="R27" s="177"/>
      <c r="AB27" s="145" t="s">
        <v>60</v>
      </c>
      <c r="AC27" s="145" t="str">
        <f>Table2[[#This Row],[Port]]&amp;Table2[[#This Row],[Vessel Type]]&amp;Table2[[#This Row],[Services]]</f>
        <v>41Mooring Charges</v>
      </c>
      <c r="AD27" s="156" t="s">
        <v>65</v>
      </c>
      <c r="AE27" s="146">
        <f>Table2[[#This Row],[Port Tariff]]</f>
        <v>1.815E-3</v>
      </c>
      <c r="AF27" s="147">
        <f>Table2[[#This Row],[Min Clause]]</f>
        <v>900</v>
      </c>
      <c r="AG27" s="157">
        <v>4</v>
      </c>
      <c r="AH27" s="148">
        <f t="shared" si="0"/>
        <v>1</v>
      </c>
      <c r="AI27" s="145">
        <f>VLOOKUP(INDEX(Table4[Curr],$J$6,1),Table4[],2,0)</f>
        <v>1</v>
      </c>
      <c r="AJ27" s="145">
        <f>AJ26*10%</f>
        <v>1.815E-3</v>
      </c>
      <c r="AK27" s="145"/>
      <c r="AL27" s="145" t="s">
        <v>8</v>
      </c>
      <c r="AM27" s="145">
        <v>900</v>
      </c>
      <c r="AN27" s="145"/>
      <c r="AO27" s="145"/>
    </row>
    <row r="28" spans="2:41">
      <c r="AB28" s="145" t="s">
        <v>64</v>
      </c>
      <c r="AC28" s="145" t="str">
        <f>Table2[[#This Row],[Port]]&amp;Table2[[#This Row],[Vessel Type]]&amp;Table2[[#This Row],[Services]]</f>
        <v>51Port Dues (per GRT)</v>
      </c>
      <c r="AD28" s="156" t="s">
        <v>27</v>
      </c>
      <c r="AE28" s="146">
        <f>Table2[[#This Row],[Port Tariff]]/IF($J$4=0,1,$J$4)</f>
        <v>11.440000000000001</v>
      </c>
      <c r="AF28" s="147">
        <f>Table2[[#This Row],[Min Clause]]</f>
        <v>0</v>
      </c>
      <c r="AG28" s="154">
        <v>5</v>
      </c>
      <c r="AH28" s="148">
        <f t="shared" si="0"/>
        <v>1</v>
      </c>
      <c r="AI28" s="145">
        <f>VLOOKUP(INDEX(Table4[Curr],$J$6,1),Table4[],2,0)</f>
        <v>1</v>
      </c>
      <c r="AJ28" s="145">
        <f>Katupalli!D3</f>
        <v>11.440000000000001</v>
      </c>
      <c r="AK28" s="145"/>
      <c r="AL28" s="145" t="s">
        <v>57</v>
      </c>
      <c r="AM28" s="145"/>
      <c r="AN28" s="145"/>
      <c r="AO28" s="145"/>
    </row>
    <row r="29" spans="2:41">
      <c r="AB29" s="145" t="s">
        <v>64</v>
      </c>
      <c r="AC29" s="145" t="str">
        <f>Table2[[#This Row],[Port]]&amp;Table2[[#This Row],[Vessel Type]]&amp;Table2[[#This Row],[Services]]</f>
        <v>51Pilotage (per GRT)</v>
      </c>
      <c r="AD29" s="156" t="s">
        <v>28</v>
      </c>
      <c r="AE29" s="146">
        <f>Table2[[#This Row],[Port Tariff]]</f>
        <v>0</v>
      </c>
      <c r="AF29" s="147">
        <f>Table2[[#This Row],[Min Clause]]</f>
        <v>1500</v>
      </c>
      <c r="AG29" s="154">
        <v>5</v>
      </c>
      <c r="AH29" s="148">
        <f t="shared" si="0"/>
        <v>1</v>
      </c>
      <c r="AI29" s="145">
        <f>VLOOKUP(INDEX(Table4[Curr],$J$6,1),Table4[],2,0)</f>
        <v>1</v>
      </c>
      <c r="AJ29" s="145">
        <f>IF($H$5&lt;=3000,0,IF($H$5&lt;=10000,Katupalli!C6,IF($H$5&lt;=16000,Katupalli!C7,IF($H$5&lt;=30000,Katupalli!C8,IF($H$5&lt;=60000,Katupalli!C9,Katupalli!C10)))))</f>
        <v>0</v>
      </c>
      <c r="AK29" s="145"/>
      <c r="AL29" s="145" t="s">
        <v>8</v>
      </c>
      <c r="AM29" s="145">
        <f>IF($H$5&lt;=3000,Katupalli!D5,Katupalli!D6)</f>
        <v>1500</v>
      </c>
      <c r="AN29" s="145"/>
      <c r="AO29" s="145"/>
    </row>
    <row r="30" spans="2:41">
      <c r="AB30" s="145" t="s">
        <v>64</v>
      </c>
      <c r="AC30" s="145" t="str">
        <f>Table2[[#This Row],[Port]]&amp;Table2[[#This Row],[Vessel Type]]&amp;Table2[[#This Row],[Services]]</f>
        <v>51Berth Hire (per GRT / Hour)</v>
      </c>
      <c r="AD30" s="156" t="s">
        <v>29</v>
      </c>
      <c r="AE30" s="160">
        <f>Table2[[#This Row],[Port Tariff]]</f>
        <v>2.8999999999999998E-3</v>
      </c>
      <c r="AF30" s="147">
        <f>Table2[[#This Row],[Min Clause]]</f>
        <v>300</v>
      </c>
      <c r="AG30" s="154">
        <v>5</v>
      </c>
      <c r="AH30" s="148">
        <f t="shared" si="0"/>
        <v>1</v>
      </c>
      <c r="AI30" s="145">
        <f>VLOOKUP(INDEX(Table4[Curr],$J$6,1),Table4[],2,0)</f>
        <v>1</v>
      </c>
      <c r="AJ30" s="145">
        <f>Katupalli!C18</f>
        <v>2.8999999999999998E-3</v>
      </c>
      <c r="AK30" s="145"/>
      <c r="AL30" s="145" t="s">
        <v>8</v>
      </c>
      <c r="AM30" s="145">
        <f>Katupalli!D18</f>
        <v>300</v>
      </c>
      <c r="AN30" s="145"/>
      <c r="AO30" s="145"/>
    </row>
    <row r="31" spans="2:41">
      <c r="AB31" s="145" t="s">
        <v>60</v>
      </c>
      <c r="AC31" s="145" t="str">
        <f>Table2[[#This Row],[Port]]&amp;Table2[[#This Row],[Vessel Type]]&amp;Table2[[#This Row],[Services]]</f>
        <v>41Anchorage (in hours)</v>
      </c>
      <c r="AD31" s="153" t="s">
        <v>9</v>
      </c>
      <c r="AE31" s="146">
        <f>Table2[[#This Row],[Port Tariff]]</f>
        <v>1.25E-3</v>
      </c>
      <c r="AF31" s="147">
        <f>Table2[[#This Row],[Min Clause]]</f>
        <v>0</v>
      </c>
      <c r="AG31" s="154">
        <v>4</v>
      </c>
      <c r="AH31" s="148">
        <f t="shared" si="0"/>
        <v>1</v>
      </c>
      <c r="AI31" s="145">
        <f>VLOOKUP(INDEX(Table4[Curr],$J$6,1),Table4[],2,0)</f>
        <v>1</v>
      </c>
      <c r="AJ31" s="145">
        <f>Dahej!C8</f>
        <v>1.25E-3</v>
      </c>
      <c r="AK31" s="145" t="s">
        <v>84</v>
      </c>
      <c r="AL31" s="145" t="s">
        <v>8</v>
      </c>
      <c r="AM31" s="145"/>
      <c r="AN31" s="145"/>
      <c r="AO31" s="145" t="s">
        <v>82</v>
      </c>
    </row>
    <row r="32" spans="2:41">
      <c r="AB32" s="145" t="s">
        <v>64</v>
      </c>
      <c r="AC32" s="145" t="str">
        <f>Table2[[#This Row],[Port]]&amp;Table2[[#This Row],[Vessel Type]]&amp;Table2[[#This Row],[Services]]</f>
        <v>51Anchorage (in hours)</v>
      </c>
      <c r="AD32" s="153" t="s">
        <v>9</v>
      </c>
      <c r="AE32" s="146">
        <f>Table2[[#This Row],[Port Tariff]]/IF($J$4=0,1,$J$4)</f>
        <v>0.9</v>
      </c>
      <c r="AF32" s="147">
        <f>Table2[[#This Row],[Min Clause]]/IF($J$4=0,1,$J$4)</f>
        <v>864</v>
      </c>
      <c r="AG32" s="154">
        <v>5</v>
      </c>
      <c r="AH32" s="148">
        <f t="shared" si="0"/>
        <v>1</v>
      </c>
      <c r="AI32" s="145">
        <f>VLOOKUP(INDEX(Table4[Curr],$J$6,1),Table4[],2,0)</f>
        <v>1</v>
      </c>
      <c r="AJ32" s="145">
        <f>Katupalli!C20</f>
        <v>0.9</v>
      </c>
      <c r="AK32" s="145"/>
      <c r="AL32" s="145" t="s">
        <v>57</v>
      </c>
      <c r="AM32" s="145">
        <f>IF($H$5&lt;=500,Katupalli!D20,Katupalli!D21)</f>
        <v>864</v>
      </c>
      <c r="AN32" s="145"/>
      <c r="AO32" s="145"/>
    </row>
    <row r="33" spans="28:41">
      <c r="AB33" s="145" t="s">
        <v>61</v>
      </c>
      <c r="AC33" s="145" t="str">
        <f>Table2[[#This Row],[Port]]&amp;Table2[[#This Row],[Vessel Type]]&amp;Table2[[#This Row],[Services]]</f>
        <v>61Port Dues (per GRT)</v>
      </c>
      <c r="AD33" s="156" t="s">
        <v>27</v>
      </c>
      <c r="AE33" s="146">
        <f>Table2[[#This Row],[Port Tariff]]</f>
        <v>0</v>
      </c>
      <c r="AF33" s="147">
        <f>Table2[[#This Row],[Min Clause]]</f>
        <v>0</v>
      </c>
      <c r="AG33" s="154">
        <v>6</v>
      </c>
      <c r="AH33" s="148">
        <f t="shared" si="0"/>
        <v>1</v>
      </c>
      <c r="AI33" s="145">
        <f>VLOOKUP(INDEX(Table4[Curr],$J$6,1),Table4[],2,0)</f>
        <v>1</v>
      </c>
      <c r="AJ33" s="145">
        <v>0</v>
      </c>
      <c r="AK33" s="145"/>
      <c r="AL33" s="145" t="s">
        <v>8</v>
      </c>
      <c r="AM33" s="145"/>
      <c r="AN33" s="145"/>
      <c r="AO33" s="145" t="s">
        <v>88</v>
      </c>
    </row>
    <row r="34" spans="28:41">
      <c r="AB34" s="145" t="s">
        <v>61</v>
      </c>
      <c r="AC34" s="145" t="str">
        <f>Table2[[#This Row],[Port]]&amp;Table2[[#This Row],[Vessel Type]]&amp;Table2[[#This Row],[Services]]</f>
        <v>61Pilotage (per GRT)</v>
      </c>
      <c r="AD34" s="156" t="s">
        <v>28</v>
      </c>
      <c r="AE34" s="146">
        <f>Table2[[#This Row],[Port Tariff]]</f>
        <v>0</v>
      </c>
      <c r="AF34" s="147">
        <f>Table2[[#This Row],[Min Clause]]</f>
        <v>0</v>
      </c>
      <c r="AG34" s="154">
        <v>6</v>
      </c>
      <c r="AH34" s="148">
        <f t="shared" si="0"/>
        <v>1</v>
      </c>
      <c r="AI34" s="145">
        <f>VLOOKUP(INDEX(Table4[Curr],$J$6,1),Table4[],2,0)</f>
        <v>1</v>
      </c>
      <c r="AJ34" s="145">
        <v>0</v>
      </c>
      <c r="AK34" s="145"/>
      <c r="AL34" s="145" t="s">
        <v>8</v>
      </c>
      <c r="AM34" s="145"/>
      <c r="AN34" s="145"/>
      <c r="AO34" s="145" t="s">
        <v>88</v>
      </c>
    </row>
    <row r="35" spans="28:41">
      <c r="AB35" s="145" t="s">
        <v>61</v>
      </c>
      <c r="AC35" s="145" t="str">
        <f>Table2[[#This Row],[Port]]&amp;Table2[[#This Row],[Vessel Type]]&amp;Table2[[#This Row],[Services]]</f>
        <v>61Berth Hire (per GRT / Hour)</v>
      </c>
      <c r="AD35" s="156" t="s">
        <v>29</v>
      </c>
      <c r="AE35" s="146">
        <f>Table2[[#This Row],[Port Tariff]]</f>
        <v>0.66</v>
      </c>
      <c r="AF35" s="147">
        <f>Table2[[#This Row],[Min Clause]]</f>
        <v>0</v>
      </c>
      <c r="AG35" s="154">
        <v>6</v>
      </c>
      <c r="AH35" s="148">
        <f t="shared" si="0"/>
        <v>1</v>
      </c>
      <c r="AI35" s="145">
        <f>VLOOKUP(INDEX(Table4[Curr],$J$6,1),Table4[],2,0)</f>
        <v>1</v>
      </c>
      <c r="AJ35" s="145">
        <v>0.66</v>
      </c>
      <c r="AK35" s="145"/>
      <c r="AL35" s="145" t="s">
        <v>57</v>
      </c>
      <c r="AM35" s="145"/>
      <c r="AN35" s="145"/>
      <c r="AO35" s="145" t="s">
        <v>70</v>
      </c>
    </row>
    <row r="36" spans="28:41">
      <c r="AB36" s="145" t="s">
        <v>61</v>
      </c>
      <c r="AC36" s="145" t="str">
        <f>Table2[[#This Row],[Port]]&amp;Table2[[#This Row],[Vessel Type]]&amp;Table2[[#This Row],[Services]]</f>
        <v>61Anchorage (in hours)</v>
      </c>
      <c r="AD36" s="153" t="s">
        <v>9</v>
      </c>
      <c r="AE36" s="146">
        <f>Table2[[#This Row],[Port Tariff]]</f>
        <v>0</v>
      </c>
      <c r="AF36" s="147">
        <f>Table2[[#This Row],[Min Clause]]</f>
        <v>0</v>
      </c>
      <c r="AG36" s="154">
        <v>6</v>
      </c>
      <c r="AH36" s="148">
        <f t="shared" si="0"/>
        <v>1</v>
      </c>
      <c r="AI36" s="145">
        <f>VLOOKUP(INDEX(Table4[Curr],$J$6,1),Table4[],2,0)</f>
        <v>1</v>
      </c>
      <c r="AJ36" s="145">
        <v>0</v>
      </c>
      <c r="AK36" s="145"/>
      <c r="AL36" s="145"/>
      <c r="AM36" s="145"/>
      <c r="AN36" s="145"/>
      <c r="AO36" s="145" t="s">
        <v>88</v>
      </c>
    </row>
    <row r="37" spans="28:41" ht="25.5">
      <c r="AB37" s="145" t="s">
        <v>58</v>
      </c>
      <c r="AC37" s="145" t="str">
        <f>Table2[[#This Row],[Port]]&amp;Table2[[#This Row],[Vessel Type]]&amp;Table2[[#This Row],[Services]]</f>
        <v>21Tug for Transportation (in hours)</v>
      </c>
      <c r="AD37" s="153" t="s">
        <v>15</v>
      </c>
      <c r="AE37" s="146">
        <f>Table2[[#This Row],[Port Tariff]]</f>
        <v>1755</v>
      </c>
      <c r="AF37" s="147">
        <f>Table2[[#This Row],[Min Clause]]</f>
        <v>0</v>
      </c>
      <c r="AG37" s="154">
        <v>2</v>
      </c>
      <c r="AH37" s="148">
        <f t="shared" si="0"/>
        <v>1</v>
      </c>
      <c r="AI37" s="145">
        <f>VLOOKUP(INDEX(Table4[Curr],$J$6,1),Table4[],2,0)</f>
        <v>1</v>
      </c>
      <c r="AJ37" s="145">
        <f>Hazira!C20</f>
        <v>1755</v>
      </c>
      <c r="AK37" s="145"/>
      <c r="AL37" s="145" t="s">
        <v>8</v>
      </c>
      <c r="AM37" s="145"/>
      <c r="AN37" s="145">
        <f>Hazira!D20</f>
        <v>440</v>
      </c>
      <c r="AO37" s="161" t="s">
        <v>90</v>
      </c>
    </row>
    <row r="38" spans="28:41">
      <c r="AB38" s="145" t="s">
        <v>54</v>
      </c>
      <c r="AC38" s="145" t="str">
        <f>Table2[[#This Row],[Port]]&amp;Table2[[#This Row],[Vessel Type]]&amp;Table2[[#This Row],[Services]]</f>
        <v>31Tug for Transportation (in hours)</v>
      </c>
      <c r="AD38" s="153" t="s">
        <v>15</v>
      </c>
      <c r="AE38" s="146">
        <f>Table2[[#This Row],[Port Tariff]]</f>
        <v>540</v>
      </c>
      <c r="AF38" s="147">
        <f>Table2[[#This Row],[Min Clause]]</f>
        <v>0</v>
      </c>
      <c r="AG38" s="154">
        <v>3</v>
      </c>
      <c r="AH38" s="148">
        <f t="shared" si="0"/>
        <v>1</v>
      </c>
      <c r="AI38" s="145">
        <f>VLOOKUP(INDEX(Table4[Curr],$J$6,1),Table4[],2,0)</f>
        <v>1</v>
      </c>
      <c r="AJ38" s="145">
        <f>Dhamra!C9</f>
        <v>540</v>
      </c>
      <c r="AK38" s="145"/>
      <c r="AL38" s="145" t="s">
        <v>8</v>
      </c>
      <c r="AM38" s="145"/>
      <c r="AN38" s="145" t="e">
        <f>IF(E13&lt;=4,F13,ROUNDUP(E13-4,0))*Katupalli!D22</f>
        <v>#VALUE!</v>
      </c>
      <c r="AO38" s="145" t="s">
        <v>91</v>
      </c>
    </row>
    <row r="39" spans="28:41">
      <c r="AB39" s="145" t="s">
        <v>60</v>
      </c>
      <c r="AC39" s="145" t="str">
        <f>Table2[[#This Row],[Port]]&amp;Table2[[#This Row],[Vessel Type]]&amp;Table2[[#This Row],[Services]]</f>
        <v>41Tug for Transportation (in hours)</v>
      </c>
      <c r="AD39" s="153" t="s">
        <v>15</v>
      </c>
      <c r="AE39" s="146">
        <f>Table2[[#This Row],[Port Tariff]]</f>
        <v>600</v>
      </c>
      <c r="AF39" s="147">
        <f>Table2[[#This Row],[Min Clause]]</f>
        <v>0</v>
      </c>
      <c r="AG39" s="154">
        <v>4</v>
      </c>
      <c r="AH39" s="148">
        <f t="shared" si="0"/>
        <v>1</v>
      </c>
      <c r="AI39" s="145">
        <f>VLOOKUP(INDEX(Table4[Curr],$J$6,1),Table4[],2,0)</f>
        <v>1</v>
      </c>
      <c r="AJ39" s="145">
        <f>Dahej!C9</f>
        <v>600</v>
      </c>
      <c r="AK39" s="145"/>
      <c r="AL39" s="145" t="s">
        <v>8</v>
      </c>
      <c r="AM39" s="145"/>
      <c r="AN39" s="145"/>
      <c r="AO39" s="145"/>
    </row>
    <row r="40" spans="28:41">
      <c r="AB40" s="145" t="s">
        <v>64</v>
      </c>
      <c r="AC40" s="145" t="str">
        <f>Table2[[#This Row],[Port]]&amp;Table2[[#This Row],[Vessel Type]]&amp;Table2[[#This Row],[Services]]</f>
        <v>51Tug for Transportation (in hours)</v>
      </c>
      <c r="AD40" s="153" t="s">
        <v>15</v>
      </c>
      <c r="AE40" s="146">
        <f>Table2[[#This Row],[Port Tariff]]</f>
        <v>1600</v>
      </c>
      <c r="AF40" s="147">
        <f>Table2[[#This Row],[Min Clause]]</f>
        <v>0</v>
      </c>
      <c r="AG40" s="154">
        <v>5</v>
      </c>
      <c r="AH40" s="148">
        <f t="shared" si="0"/>
        <v>1</v>
      </c>
      <c r="AI40" s="145">
        <f>VLOOKUP(INDEX(Table4[Curr],$J$6,1),Table4[],2,0)</f>
        <v>1</v>
      </c>
      <c r="AJ40" s="145">
        <f>Katupalli!C22</f>
        <v>1600</v>
      </c>
      <c r="AK40" s="145"/>
      <c r="AL40" s="145" t="s">
        <v>8</v>
      </c>
      <c r="AM40" s="145"/>
      <c r="AN40" s="145">
        <f>Katupalli!D22</f>
        <v>400</v>
      </c>
      <c r="AO40" s="145"/>
    </row>
    <row r="41" spans="28:41">
      <c r="AB41" s="145" t="s">
        <v>61</v>
      </c>
      <c r="AC41" s="145" t="str">
        <f>Table2[[#This Row],[Port]]&amp;Table2[[#This Row],[Vessel Type]]&amp;Table2[[#This Row],[Services]]</f>
        <v>61Tug for Transportation (in hours)</v>
      </c>
      <c r="AD41" s="153" t="s">
        <v>15</v>
      </c>
      <c r="AE41" s="146">
        <f>Table2[[#This Row],[Port Tariff]]</f>
        <v>0</v>
      </c>
      <c r="AF41" s="147">
        <f>Table2[[#This Row],[Min Clause]]</f>
        <v>0</v>
      </c>
      <c r="AG41" s="154">
        <v>6</v>
      </c>
      <c r="AH41" s="148">
        <f t="shared" si="0"/>
        <v>1</v>
      </c>
      <c r="AI41" s="145">
        <f>VLOOKUP(INDEX(Table4[Curr],$J$6,1),Table4[],2,0)</f>
        <v>1</v>
      </c>
      <c r="AJ41" s="145"/>
      <c r="AK41" s="145"/>
      <c r="AL41" s="145"/>
      <c r="AM41" s="145"/>
      <c r="AN41" s="145"/>
      <c r="AO41" s="145"/>
    </row>
    <row r="42" spans="28:41">
      <c r="AB42" s="145" t="s">
        <v>58</v>
      </c>
      <c r="AC42" s="145" t="str">
        <f>Table2[[#This Row],[Port]]&amp;Table2[[#This Row],[Vessel Type]]&amp;Table2[[#This Row],[Services]]</f>
        <v>21Additional Tug for pilotage (in hours)</v>
      </c>
      <c r="AD42" s="153" t="s">
        <v>31</v>
      </c>
      <c r="AE42" s="146">
        <f>Table2[[#This Row],[Port Tariff]]</f>
        <v>800</v>
      </c>
      <c r="AF42" s="147">
        <f>Table2[[#This Row],[Min Clause]]</f>
        <v>0</v>
      </c>
      <c r="AG42" s="154">
        <v>2</v>
      </c>
      <c r="AH42" s="148">
        <f t="shared" si="0"/>
        <v>1</v>
      </c>
      <c r="AI42" s="145">
        <f>VLOOKUP(INDEX(Table4[Curr],$J$6,1),Table4[],2,0)</f>
        <v>1</v>
      </c>
      <c r="AJ42" s="145">
        <f>Hazira!C21</f>
        <v>800</v>
      </c>
      <c r="AK42" s="145"/>
      <c r="AL42" s="145" t="s">
        <v>8</v>
      </c>
      <c r="AM42" s="145"/>
      <c r="AN42" s="145"/>
      <c r="AO42" s="145" t="s">
        <v>47</v>
      </c>
    </row>
    <row r="43" spans="28:41">
      <c r="AB43" s="145" t="s">
        <v>54</v>
      </c>
      <c r="AC43" s="145" t="str">
        <f>Table2[[#This Row],[Port]]&amp;Table2[[#This Row],[Vessel Type]]&amp;Table2[[#This Row],[Services]]</f>
        <v>31Additional Tug for pilotage (in hours)</v>
      </c>
      <c r="AD43" s="153" t="s">
        <v>31</v>
      </c>
      <c r="AE43" s="146">
        <f>Table2[[#This Row],[Port Tariff]]</f>
        <v>800</v>
      </c>
      <c r="AF43" s="147">
        <f>Table2[[#This Row],[Min Clause]]</f>
        <v>0</v>
      </c>
      <c r="AG43" s="154">
        <v>3</v>
      </c>
      <c r="AH43" s="148">
        <f t="shared" si="0"/>
        <v>1</v>
      </c>
      <c r="AI43" s="145">
        <f>VLOOKUP(INDEX(Table4[Curr],$J$6,1),Table4[],2,0)</f>
        <v>1</v>
      </c>
      <c r="AJ43" s="145">
        <f>Dhamra!C10</f>
        <v>800</v>
      </c>
      <c r="AK43" s="145"/>
      <c r="AL43" s="145"/>
      <c r="AM43" s="145"/>
      <c r="AN43" s="145"/>
      <c r="AO43" s="145" t="s">
        <v>91</v>
      </c>
    </row>
    <row r="44" spans="28:41">
      <c r="AB44" s="145" t="s">
        <v>60</v>
      </c>
      <c r="AC44" s="145" t="str">
        <f>Table2[[#This Row],[Port]]&amp;Table2[[#This Row],[Vessel Type]]&amp;Table2[[#This Row],[Services]]</f>
        <v>41Additional Tug for pilotage (in hours)</v>
      </c>
      <c r="AD44" s="153" t="s">
        <v>31</v>
      </c>
      <c r="AE44" s="146">
        <f>Table2[[#This Row],[Port Tariff]]</f>
        <v>800</v>
      </c>
      <c r="AF44" s="147">
        <f>Table2[[#This Row],[Min Clause]]</f>
        <v>0</v>
      </c>
      <c r="AG44" s="154">
        <v>4</v>
      </c>
      <c r="AH44" s="148">
        <f t="shared" si="0"/>
        <v>1</v>
      </c>
      <c r="AI44" s="145">
        <f>VLOOKUP(INDEX(Table4[Curr],$J$6,1),Table4[],2,0)</f>
        <v>1</v>
      </c>
      <c r="AJ44" s="145">
        <f>Dahej!C10</f>
        <v>800</v>
      </c>
      <c r="AK44" s="145"/>
      <c r="AL44" s="145" t="s">
        <v>8</v>
      </c>
      <c r="AM44" s="145"/>
      <c r="AN44" s="145"/>
      <c r="AO44" s="145" t="s">
        <v>47</v>
      </c>
    </row>
    <row r="45" spans="28:41">
      <c r="AB45" s="145" t="s">
        <v>64</v>
      </c>
      <c r="AC45" s="145" t="str">
        <f>Table2[[#This Row],[Port]]&amp;Table2[[#This Row],[Vessel Type]]&amp;Table2[[#This Row],[Services]]</f>
        <v>51Additional Tug for pilotage (in hours)</v>
      </c>
      <c r="AD45" s="153" t="s">
        <v>31</v>
      </c>
      <c r="AE45" s="146">
        <f>Table2[[#This Row],[Port Tariff]]</f>
        <v>800</v>
      </c>
      <c r="AF45" s="147">
        <f>Table2[[#This Row],[Min Clause]]</f>
        <v>0</v>
      </c>
      <c r="AG45" s="154">
        <v>5</v>
      </c>
      <c r="AH45" s="148">
        <f t="shared" si="0"/>
        <v>1</v>
      </c>
      <c r="AI45" s="145">
        <f>VLOOKUP(INDEX(Table4[Curr],$J$6,1),Table4[],2,0)</f>
        <v>1</v>
      </c>
      <c r="AJ45" s="145">
        <f>Katupalli!C23</f>
        <v>800</v>
      </c>
      <c r="AK45" s="145"/>
      <c r="AL45" s="145" t="s">
        <v>8</v>
      </c>
      <c r="AM45" s="145"/>
      <c r="AN45" s="145">
        <f>Katupalli!D23</f>
        <v>0</v>
      </c>
      <c r="AO45" s="145"/>
    </row>
    <row r="46" spans="28:41">
      <c r="AB46" s="145" t="s">
        <v>61</v>
      </c>
      <c r="AC46" s="145" t="str">
        <f>Table2[[#This Row],[Port]]&amp;Table2[[#This Row],[Vessel Type]]&amp;Table2[[#This Row],[Services]]</f>
        <v>61Additional Tug for pilotage (in hours)</v>
      </c>
      <c r="AD46" s="153" t="s">
        <v>31</v>
      </c>
      <c r="AE46" s="146">
        <f>Table2[[#This Row],[Port Tariff]]</f>
        <v>0</v>
      </c>
      <c r="AF46" s="147">
        <f>Table2[[#This Row],[Min Clause]]</f>
        <v>0</v>
      </c>
      <c r="AG46" s="154">
        <v>6</v>
      </c>
      <c r="AH46" s="148">
        <f t="shared" si="0"/>
        <v>1</v>
      </c>
      <c r="AI46" s="145">
        <f>VLOOKUP(INDEX(Table4[Curr],$J$6,1),Table4[],2,0)</f>
        <v>1</v>
      </c>
      <c r="AJ46" s="145"/>
      <c r="AK46" s="145"/>
      <c r="AL46" s="145"/>
      <c r="AM46" s="145"/>
      <c r="AN46" s="145"/>
      <c r="AO46" s="145"/>
    </row>
    <row r="60" spans="28:41">
      <c r="AB60" s="87" t="s">
        <v>61</v>
      </c>
      <c r="AC60" s="88" t="s">
        <v>96</v>
      </c>
      <c r="AD60" s="91" t="s">
        <v>27</v>
      </c>
      <c r="AE60" s="91">
        <v>0</v>
      </c>
      <c r="AF60" s="93">
        <v>0</v>
      </c>
      <c r="AG60" s="95">
        <v>6</v>
      </c>
      <c r="AH60" s="95">
        <v>1</v>
      </c>
      <c r="AI60" s="88">
        <v>1</v>
      </c>
      <c r="AJ60" s="88">
        <v>0</v>
      </c>
      <c r="AK60" s="88"/>
      <c r="AL60" s="88" t="s">
        <v>8</v>
      </c>
      <c r="AM60" s="88"/>
      <c r="AN60" s="88"/>
      <c r="AO60" s="102" t="s">
        <v>88</v>
      </c>
    </row>
    <row r="61" spans="28:41">
      <c r="AB61" s="89" t="s">
        <v>61</v>
      </c>
      <c r="AC61" s="90" t="s">
        <v>97</v>
      </c>
      <c r="AD61" s="92" t="s">
        <v>28</v>
      </c>
      <c r="AE61" s="92">
        <v>0</v>
      </c>
      <c r="AF61" s="94">
        <v>0</v>
      </c>
      <c r="AG61" s="96">
        <v>6</v>
      </c>
      <c r="AH61" s="96">
        <v>1</v>
      </c>
      <c r="AI61" s="90">
        <v>1</v>
      </c>
      <c r="AJ61" s="90">
        <v>0</v>
      </c>
      <c r="AK61" s="90"/>
      <c r="AL61" s="90" t="s">
        <v>8</v>
      </c>
      <c r="AM61" s="90"/>
      <c r="AN61" s="90"/>
      <c r="AO61" s="103" t="s">
        <v>88</v>
      </c>
    </row>
    <row r="62" spans="28:41">
      <c r="AB62" s="87" t="s">
        <v>61</v>
      </c>
      <c r="AC62" s="88" t="s">
        <v>98</v>
      </c>
      <c r="AD62" s="91" t="s">
        <v>29</v>
      </c>
      <c r="AE62" s="91">
        <v>0.66</v>
      </c>
      <c r="AF62" s="93">
        <v>0</v>
      </c>
      <c r="AG62" s="95">
        <v>6</v>
      </c>
      <c r="AH62" s="95">
        <v>1</v>
      </c>
      <c r="AI62" s="88">
        <v>1</v>
      </c>
      <c r="AJ62" s="88">
        <v>0.66</v>
      </c>
      <c r="AK62" s="88"/>
      <c r="AL62" s="88" t="s">
        <v>57</v>
      </c>
      <c r="AM62" s="88"/>
      <c r="AN62" s="88"/>
      <c r="AO62" s="102" t="s">
        <v>70</v>
      </c>
    </row>
    <row r="63" spans="28:41">
      <c r="AB63" s="89" t="s">
        <v>61</v>
      </c>
      <c r="AC63" s="90" t="s">
        <v>99</v>
      </c>
      <c r="AD63" s="92" t="s">
        <v>9</v>
      </c>
      <c r="AE63" s="92">
        <v>0</v>
      </c>
      <c r="AF63" s="94">
        <v>0</v>
      </c>
      <c r="AG63" s="96">
        <v>6</v>
      </c>
      <c r="AH63" s="96">
        <v>1</v>
      </c>
      <c r="AI63" s="90">
        <v>1</v>
      </c>
      <c r="AJ63" s="90">
        <v>0</v>
      </c>
      <c r="AK63" s="90"/>
      <c r="AL63" s="90"/>
      <c r="AM63" s="90"/>
      <c r="AN63" s="90"/>
      <c r="AO63" s="103" t="s">
        <v>88</v>
      </c>
    </row>
    <row r="64" spans="28:41">
      <c r="AB64" s="87" t="s">
        <v>61</v>
      </c>
      <c r="AC64" s="88" t="s">
        <v>100</v>
      </c>
      <c r="AD64" s="91" t="s">
        <v>15</v>
      </c>
      <c r="AE64" s="91">
        <v>0</v>
      </c>
      <c r="AF64" s="93">
        <v>0</v>
      </c>
      <c r="AG64" s="95">
        <v>6</v>
      </c>
      <c r="AH64" s="95">
        <v>1</v>
      </c>
      <c r="AI64" s="88">
        <v>1</v>
      </c>
      <c r="AJ64" s="88"/>
      <c r="AK64" s="88"/>
      <c r="AL64" s="88"/>
      <c r="AM64" s="88"/>
      <c r="AN64" s="88"/>
      <c r="AO64" s="102"/>
    </row>
    <row r="65" spans="28:41">
      <c r="AB65" s="97" t="s">
        <v>61</v>
      </c>
      <c r="AC65" s="98" t="s">
        <v>101</v>
      </c>
      <c r="AD65" s="99" t="s">
        <v>31</v>
      </c>
      <c r="AE65" s="99">
        <v>0</v>
      </c>
      <c r="AF65" s="100">
        <v>0</v>
      </c>
      <c r="AG65" s="101">
        <v>6</v>
      </c>
      <c r="AH65" s="101">
        <v>1</v>
      </c>
      <c r="AI65" s="98">
        <v>1</v>
      </c>
      <c r="AJ65" s="98"/>
      <c r="AK65" s="98"/>
      <c r="AL65" s="98"/>
      <c r="AM65" s="98"/>
      <c r="AN65" s="98"/>
      <c r="AO65" s="104"/>
    </row>
  </sheetData>
  <sheetProtection password="8258" sheet="1" objects="1" scenarios="1"/>
  <mergeCells count="2">
    <mergeCell ref="C8:D8"/>
    <mergeCell ref="H2:J2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Check Box 1">
              <controlPr defaultSize="0" autoFill="0" autoLine="0" autoPict="0">
                <anchor moveWithCells="1">
                  <from>
                    <xdr:col>2</xdr:col>
                    <xdr:colOff>66675</xdr:colOff>
                    <xdr:row>8</xdr:row>
                    <xdr:rowOff>0</xdr:rowOff>
                  </from>
                  <to>
                    <xdr:col>2</xdr:col>
                    <xdr:colOff>238125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Check Box 2">
              <controlPr defaultSize="0" autoFill="0" autoLine="0" autoPict="0">
                <anchor moveWithCells="1">
                  <from>
                    <xdr:col>2</xdr:col>
                    <xdr:colOff>66675</xdr:colOff>
                    <xdr:row>9</xdr:row>
                    <xdr:rowOff>0</xdr:rowOff>
                  </from>
                  <to>
                    <xdr:col>2</xdr:col>
                    <xdr:colOff>238125</xdr:colOff>
                    <xdr:row>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Check Box 3">
              <controlPr defaultSize="0" autoFill="0" autoLine="0" autoPict="0">
                <anchor moveWithCells="1">
                  <from>
                    <xdr:col>2</xdr:col>
                    <xdr:colOff>66675</xdr:colOff>
                    <xdr:row>10</xdr:row>
                    <xdr:rowOff>9525</xdr:rowOff>
                  </from>
                  <to>
                    <xdr:col>2</xdr:col>
                    <xdr:colOff>238125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7" name="Check Box 4">
              <controlPr defaultSize="0" autoFill="0" autoLine="0" autoPict="0">
                <anchor moveWithCells="1">
                  <from>
                    <xdr:col>2</xdr:col>
                    <xdr:colOff>66675</xdr:colOff>
                    <xdr:row>11</xdr:row>
                    <xdr:rowOff>0</xdr:rowOff>
                  </from>
                  <to>
                    <xdr:col>2</xdr:col>
                    <xdr:colOff>238125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8" name="Check Box 6">
              <controlPr defaultSize="0" autoFill="0" autoLine="0" autoPict="0">
                <anchor moveWithCells="1">
                  <from>
                    <xdr:col>2</xdr:col>
                    <xdr:colOff>66675</xdr:colOff>
                    <xdr:row>11</xdr:row>
                    <xdr:rowOff>161925</xdr:rowOff>
                  </from>
                  <to>
                    <xdr:col>2</xdr:col>
                    <xdr:colOff>238125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5" r:id="rId9" name="Check Box 7">
              <controlPr defaultSize="0" autoFill="0" autoLine="0" autoPict="0">
                <anchor moveWithCells="1">
                  <from>
                    <xdr:col>2</xdr:col>
                    <xdr:colOff>66675</xdr:colOff>
                    <xdr:row>12</xdr:row>
                    <xdr:rowOff>133350</xdr:rowOff>
                  </from>
                  <to>
                    <xdr:col>2</xdr:col>
                    <xdr:colOff>238125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10" name="Drop Down 14">
              <controlPr locked="0" defaultSize="0" autoLine="0" autoPict="0">
                <anchor moveWithCells="1">
                  <from>
                    <xdr:col>9</xdr:col>
                    <xdr:colOff>9525</xdr:colOff>
                    <xdr:row>4</xdr:row>
                    <xdr:rowOff>152400</xdr:rowOff>
                  </from>
                  <to>
                    <xdr:col>9</xdr:col>
                    <xdr:colOff>1000125</xdr:colOff>
                    <xdr:row>5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5" r:id="rId11" name="Drop Down 17">
              <controlPr locked="0" defaultSize="0" autoLine="0" autoPict="0">
                <anchor moveWithCells="1">
                  <from>
                    <xdr:col>7</xdr:col>
                    <xdr:colOff>0</xdr:colOff>
                    <xdr:row>1</xdr:row>
                    <xdr:rowOff>142875</xdr:rowOff>
                  </from>
                  <to>
                    <xdr:col>8</xdr:col>
                    <xdr:colOff>28575</xdr:colOff>
                    <xdr:row>2</xdr:row>
                    <xdr:rowOff>180975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2" name="Drop Down 21">
              <controlPr locked="0" defaultSize="0" autoLine="0" autoPict="0">
                <anchor moveWithCells="1">
                  <from>
                    <xdr:col>7</xdr:col>
                    <xdr:colOff>0</xdr:colOff>
                    <xdr:row>2</xdr:row>
                    <xdr:rowOff>190500</xdr:rowOff>
                  </from>
                  <to>
                    <xdr:col>8</xdr:col>
                    <xdr:colOff>28575</xdr:colOff>
                    <xdr:row>3</xdr:row>
                    <xdr:rowOff>180975</xdr:rowOff>
                  </to>
                </anchor>
              </controlPr>
            </control>
          </mc:Choice>
        </mc:AlternateContent>
      </controls>
    </mc:Choice>
  </mc:AlternateContent>
  <tableParts count="5">
    <tablePart r:id="rId13"/>
    <tablePart r:id="rId14"/>
    <tablePart r:id="rId15"/>
    <tablePart r:id="rId16"/>
    <tablePart r:id="rId17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"/>
  <dimension ref="B1:AR54"/>
  <sheetViews>
    <sheetView showGridLines="0" showRowColHeaders="0" zoomScale="110" zoomScaleNormal="110" workbookViewId="0">
      <pane xSplit="17" ySplit="26" topLeftCell="R27" activePane="bottomRight" state="frozen"/>
      <selection pane="topRight" activeCell="R1" sqref="R1"/>
      <selection pane="bottomLeft" activeCell="A27" sqref="A27"/>
      <selection pane="bottomRight" activeCell="C16" sqref="C16"/>
    </sheetView>
  </sheetViews>
  <sheetFormatPr defaultRowHeight="13.5"/>
  <cols>
    <col min="1" max="1" width="1.28515625" style="54" customWidth="1"/>
    <col min="2" max="2" width="1.5703125" style="54" customWidth="1"/>
    <col min="3" max="3" width="4.42578125" style="54" customWidth="1"/>
    <col min="4" max="4" width="41.5703125" style="54" customWidth="1"/>
    <col min="5" max="5" width="12" style="54" customWidth="1"/>
    <col min="6" max="6" width="13.28515625" style="54" customWidth="1"/>
    <col min="7" max="7" width="14.5703125" style="54" customWidth="1"/>
    <col min="8" max="8" width="1.140625" style="54" customWidth="1"/>
    <col min="9" max="9" width="18.42578125" style="54" customWidth="1"/>
    <col min="10" max="10" width="1.85546875" style="54" customWidth="1"/>
    <col min="11" max="11" width="8.7109375" style="54" customWidth="1"/>
    <col min="12" max="12" width="8.42578125" style="54" customWidth="1"/>
    <col min="13" max="13" width="7.7109375" style="54" customWidth="1"/>
    <col min="14" max="14" width="12.85546875" style="54" hidden="1" customWidth="1"/>
    <col min="15" max="16" width="11.7109375" style="54" customWidth="1"/>
    <col min="17" max="17" width="16.7109375" style="54" customWidth="1"/>
    <col min="18" max="18" width="1.42578125" style="54" customWidth="1"/>
    <col min="19" max="19" width="9.7109375" style="54" customWidth="1"/>
    <col min="20" max="20" width="2.7109375" style="54" customWidth="1"/>
    <col min="21" max="21" width="4.140625" style="54" customWidth="1"/>
    <col min="22" max="23" width="9.7109375" style="54" customWidth="1"/>
    <col min="24" max="24" width="9.5703125" style="54" customWidth="1"/>
    <col min="25" max="25" width="16.42578125" style="54" customWidth="1"/>
    <col min="26" max="26" width="8.140625" style="54" customWidth="1"/>
    <col min="27" max="27" width="25.140625" style="54" customWidth="1"/>
    <col min="28" max="30" width="13.140625" style="54" customWidth="1"/>
    <col min="31" max="31" width="26.7109375" style="54" customWidth="1"/>
    <col min="32" max="32" width="9.140625" style="54" customWidth="1"/>
    <col min="33" max="33" width="9.42578125" style="54" customWidth="1"/>
    <col min="34" max="38" width="9.140625" style="54" customWidth="1"/>
    <col min="39" max="16384" width="9.140625" style="54"/>
  </cols>
  <sheetData>
    <row r="1" spans="2:44" ht="7.5" customHeight="1" thickBot="1"/>
    <row r="2" spans="2:44" customFormat="1" ht="12.75" customHeight="1">
      <c r="B2" s="36"/>
      <c r="C2" s="37"/>
      <c r="D2" s="37"/>
      <c r="E2" s="37"/>
      <c r="F2" s="37"/>
      <c r="G2" s="37"/>
      <c r="H2" s="57"/>
      <c r="I2" s="57"/>
      <c r="J2" s="38"/>
      <c r="N2" s="170"/>
      <c r="O2" s="54"/>
      <c r="AK2" s="1"/>
      <c r="AM2" s="1"/>
    </row>
    <row r="3" spans="2:44" customFormat="1" ht="16.5" customHeight="1">
      <c r="B3" s="136"/>
      <c r="C3" s="6"/>
      <c r="D3" s="6"/>
      <c r="E3" s="61"/>
      <c r="F3" s="7" t="s">
        <v>10</v>
      </c>
      <c r="G3" s="61" t="str">
        <f xml:space="preserve">
IF($N$3=1,"Mundra",
IF($N$3=2,"Hazira",
IF($N$3=3,"Dhamra",
IF($N$3=4,"Dahej",
IF($N$3=5,"Kattupalli",
)))))</f>
        <v>Mundra</v>
      </c>
      <c r="H3" s="6"/>
      <c r="I3" s="6"/>
      <c r="J3" s="127"/>
      <c r="N3" s="172">
        <f>'Tariff Calc'!H3</f>
        <v>1</v>
      </c>
      <c r="AK3" s="2"/>
      <c r="AM3" s="3"/>
    </row>
    <row r="4" spans="2:44" customFormat="1" ht="15.75" customHeight="1">
      <c r="B4" s="136"/>
      <c r="C4" s="6"/>
      <c r="D4" s="6"/>
      <c r="E4" s="61"/>
      <c r="F4" s="6"/>
      <c r="G4" s="6"/>
      <c r="H4" s="6"/>
      <c r="I4" s="6"/>
      <c r="J4" s="127"/>
      <c r="N4" s="170"/>
      <c r="X4" s="50"/>
      <c r="AK4" s="2"/>
      <c r="AM4" s="3"/>
      <c r="AR4" s="51"/>
    </row>
    <row r="5" spans="2:44" customFormat="1" ht="15.75" customHeight="1">
      <c r="B5" s="136"/>
      <c r="C5" s="6"/>
      <c r="D5" s="6"/>
      <c r="E5" s="61"/>
      <c r="F5" s="6"/>
      <c r="G5" s="6"/>
      <c r="H5" s="6"/>
      <c r="I5" s="6"/>
      <c r="J5" s="127"/>
      <c r="N5" s="169">
        <f>'Tariff Calc'!J4</f>
        <v>0</v>
      </c>
      <c r="X5" s="50"/>
      <c r="AK5" s="2"/>
      <c r="AM5" s="3"/>
      <c r="AR5" s="51"/>
    </row>
    <row r="6" spans="2:44" customFormat="1" ht="21">
      <c r="B6" s="136"/>
      <c r="C6" s="6"/>
      <c r="D6" s="58" t="s">
        <v>94</v>
      </c>
      <c r="E6" s="7"/>
      <c r="F6" s="7"/>
      <c r="G6" s="6"/>
      <c r="H6" s="6"/>
      <c r="I6" s="6"/>
      <c r="J6" s="127"/>
      <c r="N6" s="172">
        <f>'Tariff Calc'!J6</f>
        <v>1</v>
      </c>
      <c r="AJ6" s="2"/>
      <c r="AM6" s="3"/>
      <c r="AR6" s="51"/>
    </row>
    <row r="7" spans="2:44" customFormat="1" ht="8.25" customHeight="1">
      <c r="B7" s="136"/>
      <c r="C7" s="6"/>
      <c r="D7" s="6"/>
      <c r="E7" s="7"/>
      <c r="F7" s="7"/>
      <c r="G7" s="6"/>
      <c r="H7" s="6"/>
      <c r="I7" s="6"/>
      <c r="J7" s="127"/>
      <c r="N7" s="170"/>
    </row>
    <row r="8" spans="2:44" ht="27">
      <c r="B8" s="136"/>
      <c r="C8" s="191" t="s">
        <v>25</v>
      </c>
      <c r="D8" s="192"/>
      <c r="E8" s="128" t="s">
        <v>35</v>
      </c>
      <c r="F8" s="13" t="s">
        <v>36</v>
      </c>
      <c r="G8" s="128" t="s">
        <v>37</v>
      </c>
      <c r="H8" s="6">
        <v>8</v>
      </c>
      <c r="I8" s="13" t="str">
        <f>'Tariff Calc'!J8</f>
        <v>Total Service Amt
 (in INR)</v>
      </c>
      <c r="J8" s="127"/>
      <c r="N8" s="171" t="s">
        <v>203</v>
      </c>
    </row>
    <row r="9" spans="2:44" ht="13.5" customHeight="1" thickBot="1">
      <c r="B9" s="136"/>
      <c r="C9" s="131" t="b">
        <v>0</v>
      </c>
      <c r="D9" s="23" t="s">
        <v>194</v>
      </c>
      <c r="E9" s="129">
        <v>0</v>
      </c>
      <c r="F9" s="108" t="str">
        <f>IFERROR(IF(C9=TRUE,VLOOKUP('Tariff Calc'!$H$3&amp;D9,Table514[#All],5,0)/IF(N9="INR",$N$5,1),""),0)</f>
        <v/>
      </c>
      <c r="G9" s="56">
        <v>0</v>
      </c>
      <c r="H9" s="63"/>
      <c r="I9" s="134">
        <f>IFERROR(IF($N$6=1,$N$5,1)*(IF(E9&lt;&gt;0,E9*F9)),0)</f>
        <v>0</v>
      </c>
      <c r="J9" s="127"/>
      <c r="N9" s="173" t="str">
        <f>IFERROR(IF(C9=TRUE,VLOOKUP('Tariff Calc'!$H$3&amp;D9,Table514[#All],6,0),""),0)</f>
        <v/>
      </c>
      <c r="Y9" s="54" t="s">
        <v>95</v>
      </c>
      <c r="Z9" s="54" t="s">
        <v>62</v>
      </c>
      <c r="AA9" s="54" t="s">
        <v>39</v>
      </c>
      <c r="AB9" s="54" t="s">
        <v>40</v>
      </c>
      <c r="AC9" s="54" t="s">
        <v>41</v>
      </c>
      <c r="AD9" s="54" t="s">
        <v>13</v>
      </c>
      <c r="AE9" s="54" t="s">
        <v>53</v>
      </c>
    </row>
    <row r="10" spans="2:44" ht="13.5" customHeight="1" thickBot="1">
      <c r="B10" s="136"/>
      <c r="C10" s="131" t="b">
        <v>0</v>
      </c>
      <c r="D10" s="23" t="s">
        <v>190</v>
      </c>
      <c r="E10" s="130">
        <v>0</v>
      </c>
      <c r="F10" s="108" t="str">
        <f>IFERROR(IF(C10=TRUE,VLOOKUP('Tariff Calc'!$H$3&amp;D10,Table514[#All],5,0)/IF(N10="INR",$N$5,1),""),0)</f>
        <v/>
      </c>
      <c r="G10" s="19">
        <v>0</v>
      </c>
      <c r="H10" s="63"/>
      <c r="I10" s="134">
        <f t="shared" ref="I10:I17" si="0">IFERROR(IF($N$6=1,$N$5,1)*(IF(E10&lt;&gt;0,E10*F10)),0)</f>
        <v>0</v>
      </c>
      <c r="J10" s="127"/>
      <c r="N10" s="173" t="str">
        <f>IFERROR(IF(C10=TRUE,VLOOKUP('Tariff Calc'!$H$3&amp;D10,Table514[#All],6,0),""),0)</f>
        <v/>
      </c>
      <c r="Y10" s="54" t="str">
        <f>Table514[[#This Row],[Port]]&amp;Table514[[#This Row],[Misc Charges]]</f>
        <v>1Fresh water at Berth (per MT)</v>
      </c>
      <c r="Z10" s="84">
        <v>1</v>
      </c>
      <c r="AA10" s="54" t="s">
        <v>190</v>
      </c>
      <c r="AB10" s="54" t="s">
        <v>43</v>
      </c>
      <c r="AC10" s="55">
        <v>5</v>
      </c>
      <c r="AD10" s="55" t="str">
        <f>Mundra!E12</f>
        <v>USD</v>
      </c>
      <c r="AE10" s="55"/>
      <c r="AG10" s="106"/>
      <c r="AH10" s="105"/>
    </row>
    <row r="11" spans="2:44" ht="13.5" customHeight="1" thickBot="1">
      <c r="B11" s="136"/>
      <c r="C11" s="131" t="b">
        <v>0</v>
      </c>
      <c r="D11" s="23" t="s">
        <v>191</v>
      </c>
      <c r="E11" s="130">
        <v>0</v>
      </c>
      <c r="F11" s="108" t="str">
        <f>IFERROR(IF(C11=TRUE,VLOOKUP('Tariff Calc'!$H$3&amp;D11,Table514[#All],5,0)/IF(N11="INR",$N$5,1),""),0)</f>
        <v/>
      </c>
      <c r="G11" s="19">
        <v>0</v>
      </c>
      <c r="H11" s="63"/>
      <c r="I11" s="134">
        <f t="shared" si="0"/>
        <v>0</v>
      </c>
      <c r="J11" s="127"/>
      <c r="N11" s="173" t="str">
        <f>IFERROR(IF(C11=TRUE,VLOOKUP('Tariff Calc'!$H$3&amp;D11,Table514[#All],6,0),""),0)</f>
        <v/>
      </c>
      <c r="Y11" s="54" t="str">
        <f>Table514[[#This Row],[Port]]&amp;Table514[[#This Row],[Misc Charges]]</f>
        <v>1Gangway (per Calendar Day)</v>
      </c>
      <c r="Z11" s="84">
        <v>1</v>
      </c>
      <c r="AA11" s="54" t="s">
        <v>194</v>
      </c>
      <c r="AB11" s="54" t="s">
        <v>42</v>
      </c>
      <c r="AC11" s="55">
        <v>100</v>
      </c>
      <c r="AD11" s="55" t="str">
        <f>Mundra!E11</f>
        <v>USD</v>
      </c>
      <c r="AE11" s="55"/>
      <c r="AG11" s="106"/>
      <c r="AH11" s="105"/>
    </row>
    <row r="12" spans="2:44" ht="13.5" customHeight="1" thickBot="1">
      <c r="B12" s="136"/>
      <c r="C12" s="131" t="b">
        <v>0</v>
      </c>
      <c r="D12" s="23" t="s">
        <v>193</v>
      </c>
      <c r="E12" s="130">
        <v>0</v>
      </c>
      <c r="F12" s="108" t="str">
        <f>IFERROR(IF(C12=TRUE,VLOOKUP('Tariff Calc'!$H$3&amp;D12,Table514[#All],5,0)/IF(N12="INR",$N$5,1),""),0)</f>
        <v/>
      </c>
      <c r="G12" s="19">
        <v>0</v>
      </c>
      <c r="H12" s="63"/>
      <c r="I12" s="134">
        <f t="shared" si="0"/>
        <v>0</v>
      </c>
      <c r="J12" s="127"/>
      <c r="K12"/>
      <c r="N12" s="173" t="str">
        <f>IFERROR(IF(C12=TRUE,VLOOKUP('Tariff Calc'!$H$3&amp;D12,Table514[#All],6,0),""),0)</f>
        <v/>
      </c>
      <c r="Y12" s="54" t="str">
        <f>Table514[[#This Row],[Port]]&amp;Table514[[#This Row],[Misc Charges]]</f>
        <v>1Garbage Collection at Berth</v>
      </c>
      <c r="Z12" s="84">
        <v>1</v>
      </c>
      <c r="AA12" s="54" t="s">
        <v>34</v>
      </c>
      <c r="AB12" s="54" t="s">
        <v>45</v>
      </c>
      <c r="AC12" s="55">
        <v>150</v>
      </c>
      <c r="AD12" s="55" t="str">
        <f>Mundra!E16</f>
        <v>USD</v>
      </c>
      <c r="AE12" s="55"/>
      <c r="AG12" s="106"/>
      <c r="AH12" s="105"/>
    </row>
    <row r="13" spans="2:44" ht="13.5" customHeight="1" thickBot="1">
      <c r="B13" s="136"/>
      <c r="C13" s="131" t="b">
        <v>0</v>
      </c>
      <c r="D13" s="23" t="s">
        <v>192</v>
      </c>
      <c r="E13" s="130">
        <v>0</v>
      </c>
      <c r="F13" s="108" t="str">
        <f>IFERROR(IF(C13=TRUE,VLOOKUP('Tariff Calc'!$H$3&amp;D13,Table514[#All],5,0)/IF(N13="INR",$N$5,1),""),0)</f>
        <v/>
      </c>
      <c r="G13" s="19" t="str">
        <f>IFERROR(IF(OR(N3=2,N3=4,N3=5),F13,F13*2),"")</f>
        <v/>
      </c>
      <c r="H13" s="63"/>
      <c r="I13" s="134">
        <f t="shared" si="0"/>
        <v>0</v>
      </c>
      <c r="J13" s="127"/>
      <c r="K13"/>
      <c r="N13" s="173" t="str">
        <f>IFERROR(IF(C13=TRUE,VLOOKUP('Tariff Calc'!$H$3&amp;D13,Table514[#All],6,0),""),0)</f>
        <v/>
      </c>
      <c r="Y13" s="54" t="str">
        <f>Table514[[#This Row],[Port]]&amp;Table514[[#This Row],[Misc Charges]]</f>
        <v>1Hot work permission (for hours)</v>
      </c>
      <c r="Z13" s="84">
        <v>1</v>
      </c>
      <c r="AA13" s="54" t="s">
        <v>48</v>
      </c>
      <c r="AB13" s="54" t="s">
        <v>44</v>
      </c>
      <c r="AC13" s="55">
        <v>50</v>
      </c>
      <c r="AD13" s="55" t="str">
        <f>Mundra!E17</f>
        <v>USD</v>
      </c>
      <c r="AE13" s="55"/>
      <c r="AG13" s="106"/>
      <c r="AH13" s="105"/>
    </row>
    <row r="14" spans="2:44" ht="13.5" customHeight="1" thickBot="1">
      <c r="B14" s="136"/>
      <c r="C14" s="131" t="b">
        <v>0</v>
      </c>
      <c r="D14" s="23" t="s">
        <v>34</v>
      </c>
      <c r="E14" s="130">
        <v>0</v>
      </c>
      <c r="F14" s="108" t="str">
        <f>IFERROR(IF(C14=TRUE,VLOOKUP('Tariff Calc'!$H$3&amp;D14,Table514[#All],5,0)/IF(N14="INR",$N$5,1),""),0)</f>
        <v/>
      </c>
      <c r="G14" s="19">
        <v>0</v>
      </c>
      <c r="H14" s="63"/>
      <c r="I14" s="134">
        <f t="shared" si="0"/>
        <v>0</v>
      </c>
      <c r="J14" s="127"/>
      <c r="K14"/>
      <c r="N14" s="173" t="str">
        <f>IFERROR(IF(C14=TRUE,VLOOKUP('Tariff Calc'!$H$3&amp;D14,Table514[#All],6,0),""),0)</f>
        <v/>
      </c>
      <c r="Y14" s="54" t="str">
        <f>Table514[[#This Row],[Port]]&amp;Table514[[#This Row],[Misc Charges]]</f>
        <v>1Hydra (for hours)</v>
      </c>
      <c r="Z14" s="84">
        <v>1</v>
      </c>
      <c r="AA14" s="54" t="s">
        <v>49</v>
      </c>
      <c r="AB14" s="54" t="s">
        <v>44</v>
      </c>
      <c r="AC14" s="55">
        <v>150</v>
      </c>
      <c r="AD14" s="55" t="str">
        <f>Mundra!E18</f>
        <v>USD</v>
      </c>
      <c r="AE14" s="55"/>
      <c r="AG14" s="106"/>
      <c r="AH14" s="105"/>
    </row>
    <row r="15" spans="2:44" ht="13.5" customHeight="1" thickBot="1">
      <c r="B15" s="136"/>
      <c r="C15" s="131" t="b">
        <v>0</v>
      </c>
      <c r="D15" s="23" t="s">
        <v>48</v>
      </c>
      <c r="E15" s="130">
        <v>0</v>
      </c>
      <c r="F15" s="108" t="str">
        <f>IFERROR(IF(C15=TRUE,VLOOKUP('Tariff Calc'!$H$3&amp;D15,Table514[#All],5,0)/IF(N15="INR",$N$5,1),""),0)</f>
        <v/>
      </c>
      <c r="G15" s="19">
        <v>0</v>
      </c>
      <c r="H15" s="63"/>
      <c r="I15" s="134">
        <f t="shared" si="0"/>
        <v>0</v>
      </c>
      <c r="J15" s="127"/>
      <c r="K15"/>
      <c r="N15" s="173" t="str">
        <f>IFERROR(IF(C15=TRUE,VLOOKUP('Tariff Calc'!$H$3&amp;D15,Table514[#All],6,0),""),0)</f>
        <v/>
      </c>
      <c r="Y15" s="54" t="str">
        <f>Table514[[#This Row],[Port]]&amp;Table514[[#This Row],[Misc Charges]]</f>
        <v>1Pipeline Charges (per MT)</v>
      </c>
      <c r="Z15" s="84">
        <v>1</v>
      </c>
      <c r="AA15" s="54" t="s">
        <v>50</v>
      </c>
      <c r="AB15" s="54" t="s">
        <v>43</v>
      </c>
      <c r="AC15" s="54">
        <v>3.73E-2</v>
      </c>
      <c r="AD15" s="54" t="str">
        <f>Mundra!E19</f>
        <v>USD</v>
      </c>
      <c r="AE15" s="55"/>
      <c r="AG15" s="106"/>
      <c r="AH15" s="105"/>
    </row>
    <row r="16" spans="2:44" ht="13.5" customHeight="1" thickBot="1">
      <c r="B16" s="136"/>
      <c r="C16" s="131" t="b">
        <v>0</v>
      </c>
      <c r="D16" s="23" t="s">
        <v>49</v>
      </c>
      <c r="E16" s="130">
        <v>0</v>
      </c>
      <c r="F16" s="108" t="str">
        <f>IFERROR(IF(C16=TRUE,VLOOKUP('Tariff Calc'!$H$3&amp;D16,Table514[#All],5,0)/IF(N16="INR",$N$5,1),""),0)</f>
        <v/>
      </c>
      <c r="G16" s="19">
        <v>0</v>
      </c>
      <c r="H16" s="63"/>
      <c r="I16" s="134">
        <f t="shared" si="0"/>
        <v>0</v>
      </c>
      <c r="J16" s="127"/>
      <c r="K16"/>
      <c r="N16" s="173" t="str">
        <f>IFERROR(IF(C16=TRUE,VLOOKUP('Tariff Calc'!$H$3&amp;D16,Table514[#All],6,0),""),0)</f>
        <v/>
      </c>
      <c r="Y16" s="54" t="str">
        <f>Table514[[#This Row],[Port]]&amp;Table514[[#This Row],[Misc Charges]]</f>
        <v>1Shore Mooring Winch (per Day)</v>
      </c>
      <c r="Z16" s="84">
        <v>1</v>
      </c>
      <c r="AA16" s="54" t="s">
        <v>191</v>
      </c>
      <c r="AC16" s="109" t="s">
        <v>106</v>
      </c>
      <c r="AD16" s="55" t="str">
        <f>Mundra!E13</f>
        <v>NA</v>
      </c>
      <c r="AE16" s="55"/>
      <c r="AG16" s="106"/>
      <c r="AH16" s="105"/>
    </row>
    <row r="17" spans="2:34" ht="13.5" customHeight="1">
      <c r="B17" s="136"/>
      <c r="C17" s="131" t="b">
        <v>0</v>
      </c>
      <c r="D17" s="23" t="s">
        <v>50</v>
      </c>
      <c r="E17" s="130">
        <v>0</v>
      </c>
      <c r="F17" s="110" t="str">
        <f>IFERROR(IF(C17=TRUE,VLOOKUP('Tariff Calc'!$H$3&amp;D17,Table514[#All],5,0)/IF(N17="INR",$N$5,1),""),0)</f>
        <v/>
      </c>
      <c r="G17" s="19">
        <v>0</v>
      </c>
      <c r="H17" s="63"/>
      <c r="I17" s="134">
        <f t="shared" si="0"/>
        <v>0</v>
      </c>
      <c r="J17" s="127"/>
      <c r="K17"/>
      <c r="N17" s="173" t="str">
        <f>IFERROR(IF(C17=TRUE,VLOOKUP('Tariff Calc'!$H$3&amp;D17,Table514[#All],6,0),""),0)</f>
        <v/>
      </c>
      <c r="Y17" s="54" t="str">
        <f>Table514[[#This Row],[Port]]&amp;Table514[[#This Row],[Misc Charges]]</f>
        <v>1Mooring Ropes (per Rope / Calendar day)</v>
      </c>
      <c r="Z17" s="84">
        <v>1</v>
      </c>
      <c r="AA17" s="54" t="s">
        <v>193</v>
      </c>
      <c r="AC17" s="84" t="s">
        <v>106</v>
      </c>
      <c r="AD17" s="54" t="str">
        <f>Mundra!E14</f>
        <v>NA</v>
      </c>
      <c r="AE17" s="55"/>
      <c r="AG17" s="106"/>
      <c r="AH17" s="105"/>
    </row>
    <row r="18" spans="2:34" ht="13.5" customHeight="1">
      <c r="B18" s="136"/>
      <c r="C18" s="132"/>
      <c r="D18" s="42"/>
      <c r="E18" s="25"/>
      <c r="F18" s="49" t="s">
        <v>46</v>
      </c>
      <c r="G18" s="19"/>
      <c r="H18" s="63"/>
      <c r="I18" s="39"/>
      <c r="J18" s="127"/>
      <c r="N18" s="173"/>
      <c r="Y18" s="54" t="str">
        <f>Table514[[#This Row],[Port]]&amp;Table514[[#This Row],[Misc Charges]]</f>
        <v>1Shore Crane (per 2hrs. slab)</v>
      </c>
      <c r="Z18" s="84">
        <v>1</v>
      </c>
      <c r="AA18" s="54" t="s">
        <v>192</v>
      </c>
      <c r="AC18" s="109">
        <v>15000</v>
      </c>
      <c r="AD18" s="55" t="str">
        <f>Mundra!E15</f>
        <v>INR</v>
      </c>
      <c r="AE18" s="55" t="s">
        <v>107</v>
      </c>
      <c r="AG18" s="106"/>
      <c r="AH18" s="105"/>
    </row>
    <row r="19" spans="2:34" ht="13.5" customHeight="1">
      <c r="B19" s="136"/>
      <c r="C19" s="133"/>
      <c r="D19" s="188" t="s">
        <v>26</v>
      </c>
      <c r="E19" s="25"/>
      <c r="F19" s="64"/>
      <c r="G19" s="65"/>
      <c r="H19" s="63"/>
      <c r="I19" s="189">
        <f>SUM(I9:I18)</f>
        <v>0</v>
      </c>
      <c r="J19" s="127"/>
      <c r="N19" s="173"/>
      <c r="Y19" s="85" t="str">
        <f>Table514[[#This Row],[Port]]&amp;Table514[[#This Row],[Misc Charges]]</f>
        <v>2Gangway (per Calendar Day)</v>
      </c>
      <c r="Z19" s="84">
        <v>2</v>
      </c>
      <c r="AA19" s="54" t="s">
        <v>194</v>
      </c>
      <c r="AC19" s="55">
        <f>Hazira!C22</f>
        <v>100</v>
      </c>
      <c r="AD19" s="55" t="str">
        <f>Hazira!E22</f>
        <v>USD</v>
      </c>
      <c r="AE19" s="55"/>
      <c r="AG19" s="106"/>
      <c r="AH19" s="105"/>
    </row>
    <row r="20" spans="2:34" ht="13.5" customHeight="1">
      <c r="B20" s="136"/>
      <c r="C20" s="15"/>
      <c r="D20" s="187" t="s">
        <v>213</v>
      </c>
      <c r="E20" s="27"/>
      <c r="F20" s="66"/>
      <c r="G20" s="19"/>
      <c r="H20" s="63"/>
      <c r="I20" s="190">
        <f>(I19-I16)*0%</f>
        <v>0</v>
      </c>
      <c r="J20" s="127"/>
      <c r="N20" s="173"/>
      <c r="Y20" s="85" t="str">
        <f>Table514[[#This Row],[Port]]&amp;Table514[[#This Row],[Misc Charges]]</f>
        <v>2Fresh water at Berth (per MT)</v>
      </c>
      <c r="Z20" s="84">
        <v>2</v>
      </c>
      <c r="AA20" s="54" t="s">
        <v>190</v>
      </c>
      <c r="AC20" s="55">
        <f>Hazira!C23</f>
        <v>5</v>
      </c>
      <c r="AD20" s="55" t="str">
        <f>Hazira!E23</f>
        <v>USD</v>
      </c>
      <c r="AE20" s="55"/>
      <c r="AG20" s="106"/>
      <c r="AH20" s="105"/>
    </row>
    <row r="21" spans="2:34" ht="13.5" customHeight="1">
      <c r="B21" s="136"/>
      <c r="C21" s="28"/>
      <c r="D21" s="29" t="s">
        <v>214</v>
      </c>
      <c r="E21" s="29"/>
      <c r="F21" s="67"/>
      <c r="G21" s="68"/>
      <c r="H21" s="69"/>
      <c r="I21" s="135">
        <f>I19+I20</f>
        <v>0</v>
      </c>
      <c r="J21" s="127"/>
      <c r="N21" s="173"/>
      <c r="Y21" s="85" t="str">
        <f>Table514[[#This Row],[Port]]&amp;Table514[[#This Row],[Misc Charges]]</f>
        <v>2Shore Mooring Winch (per Day)</v>
      </c>
      <c r="Z21" s="84">
        <v>2</v>
      </c>
      <c r="AA21" s="54" t="s">
        <v>191</v>
      </c>
      <c r="AC21" s="55" t="str">
        <f>Hazira!C24</f>
        <v>No Service</v>
      </c>
      <c r="AD21" s="55" t="str">
        <f>Hazira!E24</f>
        <v>NA</v>
      </c>
      <c r="AE21" s="55"/>
      <c r="AG21" s="106"/>
      <c r="AH21" s="105"/>
    </row>
    <row r="22" spans="2:34" ht="15" customHeight="1">
      <c r="B22" s="136"/>
      <c r="C22" s="137" t="s">
        <v>215</v>
      </c>
      <c r="D22" s="6"/>
      <c r="E22" s="6"/>
      <c r="F22" s="6"/>
      <c r="G22" s="6"/>
      <c r="H22" s="6"/>
      <c r="I22" s="6"/>
      <c r="J22" s="127"/>
      <c r="N22" s="173"/>
      <c r="Y22" s="85" t="str">
        <f>Table514[[#This Row],[Port]]&amp;Table514[[#This Row],[Misc Charges]]</f>
        <v>2Mooring Ropes (per Rope / Calendar day)</v>
      </c>
      <c r="Z22" s="84">
        <v>2</v>
      </c>
      <c r="AA22" s="54" t="s">
        <v>193</v>
      </c>
      <c r="AC22" s="55" t="str">
        <f>Hazira!C25</f>
        <v>No Service</v>
      </c>
      <c r="AD22" s="55" t="str">
        <f>Hazira!E25</f>
        <v>NA</v>
      </c>
      <c r="AE22" s="55"/>
      <c r="AG22" s="106"/>
      <c r="AH22" s="105"/>
    </row>
    <row r="23" spans="2:34" ht="13.5" customHeight="1">
      <c r="B23" s="136"/>
      <c r="C23" s="186" t="s">
        <v>216</v>
      </c>
      <c r="D23" s="6"/>
      <c r="E23" s="6"/>
      <c r="F23" s="6"/>
      <c r="G23" s="6"/>
      <c r="H23" s="6"/>
      <c r="I23" s="6"/>
      <c r="J23" s="127"/>
      <c r="N23" s="173"/>
      <c r="Y23" s="85" t="str">
        <f>Table514[[#This Row],[Port]]&amp;Table514[[#This Row],[Misc Charges]]</f>
        <v>2Shore Crane (per 2hrs. slab)</v>
      </c>
      <c r="Z23" s="84">
        <v>2</v>
      </c>
      <c r="AA23" s="54" t="s">
        <v>192</v>
      </c>
      <c r="AC23" s="55">
        <f>Hazira!C26</f>
        <v>15000</v>
      </c>
      <c r="AD23" s="55" t="str">
        <f>Hazira!E26</f>
        <v>INR</v>
      </c>
      <c r="AE23" s="55"/>
      <c r="AG23" s="106"/>
      <c r="AH23" s="105"/>
    </row>
    <row r="24" spans="2:34" ht="13.5" customHeight="1" thickBot="1">
      <c r="B24" s="32"/>
      <c r="C24" s="33"/>
      <c r="D24" s="33"/>
      <c r="E24" s="33"/>
      <c r="F24" s="33"/>
      <c r="G24" s="33"/>
      <c r="H24" s="33"/>
      <c r="I24" s="33"/>
      <c r="J24" s="34"/>
      <c r="N24" s="173"/>
      <c r="Y24" s="85" t="str">
        <f>Table514[[#This Row],[Port]]&amp;Table514[[#This Row],[Misc Charges]]</f>
        <v>2Garbage Collection at Berth</v>
      </c>
      <c r="Z24" s="84">
        <v>2</v>
      </c>
      <c r="AA24" s="54" t="s">
        <v>34</v>
      </c>
      <c r="AC24" s="55">
        <f>Hazira!C27</f>
        <v>150</v>
      </c>
      <c r="AD24" s="55" t="str">
        <f>Hazira!E27</f>
        <v>USD</v>
      </c>
      <c r="AE24" s="55"/>
      <c r="AG24" s="106"/>
      <c r="AH24" s="105"/>
    </row>
    <row r="25" spans="2:34">
      <c r="Y25" s="85" t="str">
        <f>Table514[[#This Row],[Port]]&amp;Table514[[#This Row],[Misc Charges]]</f>
        <v>2Hot work permission (for hours)</v>
      </c>
      <c r="Z25" s="84">
        <v>2</v>
      </c>
      <c r="AA25" s="54" t="s">
        <v>48</v>
      </c>
      <c r="AC25" s="55">
        <f>Hazira!C28</f>
        <v>50</v>
      </c>
      <c r="AD25" s="55" t="str">
        <f>Hazira!E28</f>
        <v>USD</v>
      </c>
      <c r="AE25" s="55"/>
    </row>
    <row r="26" spans="2:34" ht="20.25" customHeight="1">
      <c r="Y26" s="85" t="str">
        <f>Table514[[#This Row],[Port]]&amp;Table514[[#This Row],[Misc Charges]]</f>
        <v>2Hydra (for hours)</v>
      </c>
      <c r="Z26" s="84">
        <v>2</v>
      </c>
      <c r="AA26" s="54" t="s">
        <v>49</v>
      </c>
      <c r="AC26" s="55">
        <f>Hazira!C29</f>
        <v>150</v>
      </c>
      <c r="AD26" s="55" t="str">
        <f>Hazira!E29</f>
        <v>USD</v>
      </c>
      <c r="AE26" s="55"/>
    </row>
    <row r="27" spans="2:34" ht="8.25" customHeight="1">
      <c r="R27" s="178"/>
      <c r="Y27" s="85" t="str">
        <f>Table514[[#This Row],[Port]]&amp;Table514[[#This Row],[Misc Charges]]</f>
        <v>2Pipeline Charges (per MT)</v>
      </c>
      <c r="Z27" s="84">
        <v>2</v>
      </c>
      <c r="AA27" s="54" t="s">
        <v>50</v>
      </c>
      <c r="AC27" s="54">
        <f>Hazira!C30</f>
        <v>2.5</v>
      </c>
      <c r="AD27" s="55" t="str">
        <f>Hazira!E30</f>
        <v>INR</v>
      </c>
      <c r="AE27" s="55"/>
    </row>
    <row r="28" spans="2:34">
      <c r="F28" s="84"/>
      <c r="G28" s="86"/>
      <c r="Y28" s="85" t="str">
        <f>Table514[[#This Row],[Port]]&amp;Table514[[#This Row],[Misc Charges]]</f>
        <v>3Gangway (per Calendar Day)</v>
      </c>
      <c r="Z28" s="84">
        <v>3</v>
      </c>
      <c r="AA28" s="54" t="s">
        <v>194</v>
      </c>
      <c r="AC28" s="55">
        <f>Dhamra!C11</f>
        <v>100</v>
      </c>
      <c r="AD28" s="55" t="str">
        <f>Dhamra!E11</f>
        <v>USD</v>
      </c>
      <c r="AE28" s="55"/>
    </row>
    <row r="29" spans="2:34">
      <c r="F29" s="84"/>
      <c r="G29" s="86"/>
      <c r="Y29" s="85" t="str">
        <f>Table514[[#This Row],[Port]]&amp;Table514[[#This Row],[Misc Charges]]</f>
        <v>3Fresh water at Berth (per MT)</v>
      </c>
      <c r="Z29" s="84">
        <v>3</v>
      </c>
      <c r="AA29" s="54" t="s">
        <v>190</v>
      </c>
      <c r="AC29" s="55">
        <f>Dhamra!C12</f>
        <v>3</v>
      </c>
      <c r="AD29" s="55" t="str">
        <f>Dhamra!E12</f>
        <v>USD</v>
      </c>
      <c r="AE29" s="55"/>
    </row>
    <row r="30" spans="2:34">
      <c r="F30" s="84"/>
      <c r="G30" s="86"/>
      <c r="Y30" s="85" t="str">
        <f>Table514[[#This Row],[Port]]&amp;Table514[[#This Row],[Misc Charges]]</f>
        <v>3Shore Mooring Winch (per Day)</v>
      </c>
      <c r="Z30" s="84">
        <v>3</v>
      </c>
      <c r="AA30" s="54" t="s">
        <v>191</v>
      </c>
      <c r="AC30" s="55" t="str">
        <f>Dhamra!C13</f>
        <v>No Service</v>
      </c>
      <c r="AD30" s="55" t="str">
        <f>Dhamra!E13</f>
        <v>NA</v>
      </c>
      <c r="AE30" s="55"/>
    </row>
    <row r="31" spans="2:34">
      <c r="F31" s="84"/>
      <c r="G31" s="86"/>
      <c r="Y31" s="85" t="str">
        <f>Table514[[#This Row],[Port]]&amp;Table514[[#This Row],[Misc Charges]]</f>
        <v>3Mooring Ropes (per Rope / Calendar day)</v>
      </c>
      <c r="Z31" s="84">
        <v>3</v>
      </c>
      <c r="AA31" s="54" t="s">
        <v>193</v>
      </c>
      <c r="AC31" s="55">
        <f>Dhamra!C14</f>
        <v>90</v>
      </c>
      <c r="AD31" s="55" t="str">
        <f>Dhamra!E14</f>
        <v>USD</v>
      </c>
      <c r="AE31" s="55"/>
    </row>
    <row r="32" spans="2:34">
      <c r="F32" s="84"/>
      <c r="G32" s="86"/>
      <c r="Y32" s="85" t="str">
        <f>Table514[[#This Row],[Port]]&amp;Table514[[#This Row],[Misc Charges]]</f>
        <v>3Shore Crane (per 2hrs. slab)</v>
      </c>
      <c r="Z32" s="84">
        <v>3</v>
      </c>
      <c r="AA32" s="54" t="s">
        <v>192</v>
      </c>
      <c r="AC32" s="55" t="str">
        <f>Dhamra!C15</f>
        <v>No Service</v>
      </c>
      <c r="AD32" s="55" t="str">
        <f>Dhamra!E15</f>
        <v>NA</v>
      </c>
      <c r="AE32" s="55"/>
    </row>
    <row r="33" spans="6:31">
      <c r="F33" s="84"/>
      <c r="G33" s="86"/>
      <c r="Y33" s="85" t="str">
        <f>Table514[[#This Row],[Port]]&amp;Table514[[#This Row],[Misc Charges]]</f>
        <v>3Garbage Collection at Berth</v>
      </c>
      <c r="Z33" s="84">
        <v>3</v>
      </c>
      <c r="AA33" s="54" t="s">
        <v>34</v>
      </c>
      <c r="AC33" s="55">
        <f>Dhamra!C16</f>
        <v>150</v>
      </c>
      <c r="AD33" s="55" t="str">
        <f>Dhamra!E16</f>
        <v>USD</v>
      </c>
      <c r="AE33" s="55"/>
    </row>
    <row r="34" spans="6:31">
      <c r="Y34" s="85" t="str">
        <f>Table514[[#This Row],[Port]]&amp;Table514[[#This Row],[Misc Charges]]</f>
        <v>3Hot work permission (for hours)</v>
      </c>
      <c r="Z34" s="84">
        <v>3</v>
      </c>
      <c r="AA34" s="54" t="s">
        <v>48</v>
      </c>
      <c r="AC34" s="55">
        <f>Dhamra!C17</f>
        <v>20</v>
      </c>
      <c r="AD34" s="55" t="str">
        <f>Dhamra!E17</f>
        <v>USD</v>
      </c>
      <c r="AE34" s="55"/>
    </row>
    <row r="35" spans="6:31">
      <c r="Y35" s="85" t="str">
        <f>Table514[[#This Row],[Port]]&amp;Table514[[#This Row],[Misc Charges]]</f>
        <v>3Hydra (for hours)</v>
      </c>
      <c r="Z35" s="84">
        <v>3</v>
      </c>
      <c r="AA35" s="54" t="s">
        <v>49</v>
      </c>
      <c r="AC35" s="55">
        <f>Dhamra!C18</f>
        <v>150</v>
      </c>
      <c r="AD35" s="55" t="str">
        <f>Dhamra!E18</f>
        <v>USD</v>
      </c>
      <c r="AE35" s="55"/>
    </row>
    <row r="36" spans="6:31">
      <c r="Y36" s="85" t="str">
        <f>Table514[[#This Row],[Port]]&amp;Table514[[#This Row],[Misc Charges]]</f>
        <v>3Pipeline Charges (per MT)</v>
      </c>
      <c r="Z36" s="84">
        <v>3</v>
      </c>
      <c r="AA36" s="54" t="s">
        <v>50</v>
      </c>
      <c r="AC36" s="55">
        <f>Dhamra!C19</f>
        <v>0</v>
      </c>
      <c r="AD36" s="55" t="str">
        <f>Dhamra!E19</f>
        <v>NA</v>
      </c>
      <c r="AE36" s="55"/>
    </row>
    <row r="37" spans="6:31">
      <c r="Y37" s="85" t="str">
        <f>Table514[[#This Row],[Port]]&amp;Table514[[#This Row],[Misc Charges]]</f>
        <v>4Gangway (per Calendar Day)</v>
      </c>
      <c r="Z37" s="84">
        <v>4</v>
      </c>
      <c r="AA37" s="54" t="s">
        <v>194</v>
      </c>
      <c r="AC37" s="55">
        <f>Dahej!C11</f>
        <v>100</v>
      </c>
      <c r="AD37" s="55" t="str">
        <f>Dahej!E11</f>
        <v>USD</v>
      </c>
      <c r="AE37" s="55"/>
    </row>
    <row r="38" spans="6:31">
      <c r="Y38" s="85" t="str">
        <f>Table514[[#This Row],[Port]]&amp;Table514[[#This Row],[Misc Charges]]</f>
        <v>4Fresh water at Berth (per MT)</v>
      </c>
      <c r="Z38" s="84">
        <v>4</v>
      </c>
      <c r="AA38" s="54" t="s">
        <v>190</v>
      </c>
      <c r="AC38" s="55">
        <f>Dahej!C12</f>
        <v>5</v>
      </c>
      <c r="AD38" s="55" t="str">
        <f>Dahej!E12</f>
        <v>USD</v>
      </c>
      <c r="AE38" s="55"/>
    </row>
    <row r="39" spans="6:31">
      <c r="Y39" s="85" t="str">
        <f>Table514[[#This Row],[Port]]&amp;Table514[[#This Row],[Misc Charges]]</f>
        <v>4Shore Mooring Winch (per Day)</v>
      </c>
      <c r="Z39" s="84">
        <v>4</v>
      </c>
      <c r="AA39" s="54" t="s">
        <v>191</v>
      </c>
      <c r="AC39" s="55">
        <f>Dahej!C13</f>
        <v>2000</v>
      </c>
      <c r="AD39" s="55" t="str">
        <f>Dahej!E13</f>
        <v>USD</v>
      </c>
      <c r="AE39" s="55"/>
    </row>
    <row r="40" spans="6:31">
      <c r="Y40" s="85" t="str">
        <f>Table514[[#This Row],[Port]]&amp;Table514[[#This Row],[Misc Charges]]</f>
        <v>4Mooring Ropes (per Rope / Calendar day)</v>
      </c>
      <c r="Z40" s="84">
        <v>4</v>
      </c>
      <c r="AA40" s="54" t="s">
        <v>193</v>
      </c>
      <c r="AC40" s="55">
        <f>Dahej!C14</f>
        <v>90</v>
      </c>
      <c r="AD40" s="55" t="str">
        <f>Dahej!E14</f>
        <v>USD</v>
      </c>
      <c r="AE40" s="55"/>
    </row>
    <row r="41" spans="6:31">
      <c r="Y41" s="85" t="str">
        <f>Table514[[#This Row],[Port]]&amp;Table514[[#This Row],[Misc Charges]]</f>
        <v>4Shore Crane (per 2hrs. slab)</v>
      </c>
      <c r="Z41" s="84">
        <v>4</v>
      </c>
      <c r="AA41" s="54" t="s">
        <v>192</v>
      </c>
      <c r="AC41" s="55">
        <f>Dahej!C15</f>
        <v>620</v>
      </c>
      <c r="AD41" s="55" t="str">
        <f>Dahej!E15</f>
        <v>USD</v>
      </c>
      <c r="AE41" s="55"/>
    </row>
    <row r="42" spans="6:31">
      <c r="Y42" s="85" t="str">
        <f>Table514[[#This Row],[Port]]&amp;Table514[[#This Row],[Misc Charges]]</f>
        <v>4Garbage Collection at Berth</v>
      </c>
      <c r="Z42" s="84">
        <v>4</v>
      </c>
      <c r="AA42" s="54" t="s">
        <v>34</v>
      </c>
      <c r="AC42" s="55">
        <f>Dahej!C16</f>
        <v>150</v>
      </c>
      <c r="AD42" s="55" t="str">
        <f>Dahej!E16</f>
        <v>USD</v>
      </c>
      <c r="AE42" s="55"/>
    </row>
    <row r="43" spans="6:31">
      <c r="Y43" s="85" t="str">
        <f>Table514[[#This Row],[Port]]&amp;Table514[[#This Row],[Misc Charges]]</f>
        <v>4Hot work permission (for hours)</v>
      </c>
      <c r="Z43" s="84">
        <v>4</v>
      </c>
      <c r="AA43" s="54" t="s">
        <v>48</v>
      </c>
      <c r="AC43" s="55">
        <f>Dahej!C17</f>
        <v>20</v>
      </c>
      <c r="AD43" s="55" t="str">
        <f>Dahej!E17</f>
        <v>USD</v>
      </c>
      <c r="AE43" s="55"/>
    </row>
    <row r="44" spans="6:31">
      <c r="Y44" s="85" t="str">
        <f>Table514[[#This Row],[Port]]&amp;Table514[[#This Row],[Misc Charges]]</f>
        <v>4Hydra (for hours)</v>
      </c>
      <c r="Z44" s="84">
        <v>4</v>
      </c>
      <c r="AA44" s="54" t="s">
        <v>49</v>
      </c>
      <c r="AC44" s="55">
        <f>Dahej!C18</f>
        <v>150</v>
      </c>
      <c r="AD44" s="55" t="str">
        <f>Dahej!E18</f>
        <v>USD</v>
      </c>
      <c r="AE44" s="55"/>
    </row>
    <row r="45" spans="6:31">
      <c r="Y45" s="85" t="str">
        <f>Table514[[#This Row],[Port]]&amp;Table514[[#This Row],[Misc Charges]]</f>
        <v>4Pipeline Charges (per MT)</v>
      </c>
      <c r="Z45" s="84">
        <v>4</v>
      </c>
      <c r="AA45" s="54" t="s">
        <v>50</v>
      </c>
      <c r="AC45" s="55">
        <f>Dahej!C19</f>
        <v>0</v>
      </c>
      <c r="AD45" s="55" t="str">
        <f>Dahej!E19</f>
        <v>NA</v>
      </c>
      <c r="AE45" s="55"/>
    </row>
    <row r="46" spans="6:31">
      <c r="Y46" s="85" t="str">
        <f>Table514[[#This Row],[Port]]&amp;Table514[[#This Row],[Misc Charges]]</f>
        <v>5Gangway (per Calendar Day)</v>
      </c>
      <c r="Z46" s="84">
        <v>5</v>
      </c>
      <c r="AA46" s="54" t="s">
        <v>194</v>
      </c>
      <c r="AC46" s="55">
        <f>Katupalli!C24</f>
        <v>50</v>
      </c>
      <c r="AD46" s="55" t="str">
        <f>Katupalli!E24</f>
        <v>USD</v>
      </c>
      <c r="AE46" s="55"/>
    </row>
    <row r="47" spans="6:31">
      <c r="Y47" s="85" t="str">
        <f>Table514[[#This Row],[Port]]&amp;Table514[[#This Row],[Misc Charges]]</f>
        <v>5Fresh water at Berth (per MT)</v>
      </c>
      <c r="Z47" s="84">
        <v>5</v>
      </c>
      <c r="AA47" s="54" t="s">
        <v>190</v>
      </c>
      <c r="AC47" s="55">
        <f>Katupalli!C25</f>
        <v>5</v>
      </c>
      <c r="AD47" s="55" t="str">
        <f>Katupalli!E25</f>
        <v>USD</v>
      </c>
      <c r="AE47" s="55"/>
    </row>
    <row r="48" spans="6:31">
      <c r="Y48" s="85" t="str">
        <f>Table514[[#This Row],[Port]]&amp;Table514[[#This Row],[Misc Charges]]</f>
        <v>5Shore Mooring Winch (per Day)</v>
      </c>
      <c r="Z48" s="84">
        <v>5</v>
      </c>
      <c r="AA48" s="54" t="s">
        <v>191</v>
      </c>
      <c r="AC48" s="55" t="str">
        <f>Katupalli!C26</f>
        <v>No Service</v>
      </c>
      <c r="AD48" s="55" t="str">
        <f>Katupalli!E26</f>
        <v>NA</v>
      </c>
      <c r="AE48" s="55"/>
    </row>
    <row r="49" spans="25:31">
      <c r="Y49" s="85" t="str">
        <f>Table514[[#This Row],[Port]]&amp;Table514[[#This Row],[Misc Charges]]</f>
        <v>5Mooring Ropes (per Rope / Calendar day)</v>
      </c>
      <c r="Z49" s="84">
        <v>5</v>
      </c>
      <c r="AA49" s="54" t="s">
        <v>193</v>
      </c>
      <c r="AC49" s="55" t="str">
        <f>Katupalli!C27</f>
        <v>No Service</v>
      </c>
      <c r="AD49" s="55" t="str">
        <f>Katupalli!E27</f>
        <v>NA</v>
      </c>
      <c r="AE49" s="55"/>
    </row>
    <row r="50" spans="25:31">
      <c r="Y50" s="85" t="str">
        <f>Table514[[#This Row],[Port]]&amp;Table514[[#This Row],[Misc Charges]]</f>
        <v>5Shore Crane (per 2hrs. slab)</v>
      </c>
      <c r="Z50" s="84">
        <v>5</v>
      </c>
      <c r="AA50" s="54" t="s">
        <v>192</v>
      </c>
      <c r="AC50" s="55">
        <f>Katupalli!C28</f>
        <v>25000</v>
      </c>
      <c r="AD50" s="55" t="str">
        <f>Katupalli!E28</f>
        <v>INR</v>
      </c>
      <c r="AE50" s="55"/>
    </row>
    <row r="51" spans="25:31">
      <c r="Y51" s="85" t="str">
        <f>Table514[[#This Row],[Port]]&amp;Table514[[#This Row],[Misc Charges]]</f>
        <v>5Garbage Collection at Berth</v>
      </c>
      <c r="Z51" s="84">
        <v>5</v>
      </c>
      <c r="AA51" s="54" t="s">
        <v>34</v>
      </c>
      <c r="AC51" s="55">
        <f>Katupalli!C29</f>
        <v>150</v>
      </c>
      <c r="AD51" s="55" t="str">
        <f>Katupalli!E29</f>
        <v>USD</v>
      </c>
      <c r="AE51" s="55"/>
    </row>
    <row r="52" spans="25:31">
      <c r="Y52" s="85" t="str">
        <f>Table514[[#This Row],[Port]]&amp;Table514[[#This Row],[Misc Charges]]</f>
        <v>5Hot work permission (for hours)</v>
      </c>
      <c r="Z52" s="84">
        <v>5</v>
      </c>
      <c r="AA52" s="54" t="s">
        <v>48</v>
      </c>
      <c r="AC52" s="55">
        <f>Katupalli!C30</f>
        <v>20</v>
      </c>
      <c r="AD52" s="55" t="str">
        <f>Katupalli!E30</f>
        <v>USD</v>
      </c>
      <c r="AE52" s="55"/>
    </row>
    <row r="53" spans="25:31">
      <c r="Y53" s="85" t="str">
        <f>Table514[[#This Row],[Port]]&amp;Table514[[#This Row],[Misc Charges]]</f>
        <v>5Hydra (for hours)</v>
      </c>
      <c r="Z53" s="84">
        <v>5</v>
      </c>
      <c r="AA53" s="54" t="s">
        <v>49</v>
      </c>
      <c r="AC53" s="55">
        <f>Katupalli!C31</f>
        <v>150</v>
      </c>
      <c r="AD53" s="55" t="str">
        <f>Katupalli!E31</f>
        <v>USD</v>
      </c>
      <c r="AE53" s="55"/>
    </row>
    <row r="54" spans="25:31">
      <c r="Y54" s="85" t="str">
        <f>Table514[[#This Row],[Port]]&amp;Table514[[#This Row],[Misc Charges]]</f>
        <v>5Pipeline Charges (per MT)</v>
      </c>
      <c r="Z54" s="84">
        <v>5</v>
      </c>
      <c r="AA54" s="54" t="s">
        <v>50</v>
      </c>
      <c r="AC54" s="55">
        <f>Katupalli!C32</f>
        <v>0</v>
      </c>
      <c r="AD54" s="55">
        <f>Katupalli!E32</f>
        <v>0</v>
      </c>
      <c r="AE54" s="55"/>
    </row>
  </sheetData>
  <sheetProtection password="8258" sheet="1" objects="1" scenarios="1"/>
  <mergeCells count="1">
    <mergeCell ref="C8:D8"/>
  </mergeCells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Check Box 1">
              <controlPr defaultSize="0" autoFill="0" autoLine="0" autoPict="0">
                <anchor moveWithCells="1">
                  <from>
                    <xdr:col>2</xdr:col>
                    <xdr:colOff>66675</xdr:colOff>
                    <xdr:row>7</xdr:row>
                    <xdr:rowOff>304800</xdr:rowOff>
                  </from>
                  <to>
                    <xdr:col>3</xdr:col>
                    <xdr:colOff>76200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Check Box 2">
              <controlPr defaultSize="0" autoFill="0" autoLine="0" autoPict="0">
                <anchor moveWithCells="1">
                  <from>
                    <xdr:col>2</xdr:col>
                    <xdr:colOff>57150</xdr:colOff>
                    <xdr:row>8</xdr:row>
                    <xdr:rowOff>142875</xdr:rowOff>
                  </from>
                  <to>
                    <xdr:col>3</xdr:col>
                    <xdr:colOff>66675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9" r:id="rId6" name="Check Box 3">
              <controlPr defaultSize="0" autoFill="0" autoLine="0" autoPict="0">
                <anchor moveWithCells="1">
                  <from>
                    <xdr:col>2</xdr:col>
                    <xdr:colOff>57150</xdr:colOff>
                    <xdr:row>9</xdr:row>
                    <xdr:rowOff>133350</xdr:rowOff>
                  </from>
                  <to>
                    <xdr:col>3</xdr:col>
                    <xdr:colOff>66675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0" r:id="rId7" name="Check Box 4">
              <controlPr defaultSize="0" autoFill="0" autoLine="0" autoPict="0">
                <anchor moveWithCells="1">
                  <from>
                    <xdr:col>2</xdr:col>
                    <xdr:colOff>57150</xdr:colOff>
                    <xdr:row>10</xdr:row>
                    <xdr:rowOff>133350</xdr:rowOff>
                  </from>
                  <to>
                    <xdr:col>3</xdr:col>
                    <xdr:colOff>66675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1" r:id="rId8" name="Check Box 5">
              <controlPr defaultSize="0" autoFill="0" autoLine="0" autoPict="0">
                <anchor moveWithCells="1">
                  <from>
                    <xdr:col>2</xdr:col>
                    <xdr:colOff>57150</xdr:colOff>
                    <xdr:row>11</xdr:row>
                    <xdr:rowOff>142875</xdr:rowOff>
                  </from>
                  <to>
                    <xdr:col>3</xdr:col>
                    <xdr:colOff>66675</xdr:colOff>
                    <xdr:row>13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2" r:id="rId9" name="Check Box 6">
              <controlPr defaultSize="0" autoFill="0" autoLine="0" autoPict="0">
                <anchor moveWithCells="1">
                  <from>
                    <xdr:col>2</xdr:col>
                    <xdr:colOff>57150</xdr:colOff>
                    <xdr:row>12</xdr:row>
                    <xdr:rowOff>142875</xdr:rowOff>
                  </from>
                  <to>
                    <xdr:col>3</xdr:col>
                    <xdr:colOff>66675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9" r:id="rId10" name="Check Box 23">
              <controlPr defaultSize="0" autoFill="0" autoLine="0" autoPict="0">
                <anchor moveWithCells="1">
                  <from>
                    <xdr:col>2</xdr:col>
                    <xdr:colOff>47625</xdr:colOff>
                    <xdr:row>13</xdr:row>
                    <xdr:rowOff>142875</xdr:rowOff>
                  </from>
                  <to>
                    <xdr:col>3</xdr:col>
                    <xdr:colOff>57150</xdr:colOff>
                    <xdr:row>15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1" r:id="rId11" name="Check Box 25">
              <controlPr defaultSize="0" autoFill="0" autoLine="0" autoPict="0">
                <anchor moveWithCells="1">
                  <from>
                    <xdr:col>2</xdr:col>
                    <xdr:colOff>47625</xdr:colOff>
                    <xdr:row>14</xdr:row>
                    <xdr:rowOff>142875</xdr:rowOff>
                  </from>
                  <to>
                    <xdr:col>3</xdr:col>
                    <xdr:colOff>57150</xdr:colOff>
                    <xdr:row>16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3" r:id="rId12" name="Check Box 27">
              <controlPr defaultSize="0" autoFill="0" autoLine="0" autoPict="0">
                <anchor moveWithCells="1">
                  <from>
                    <xdr:col>2</xdr:col>
                    <xdr:colOff>57150</xdr:colOff>
                    <xdr:row>14</xdr:row>
                    <xdr:rowOff>133350</xdr:rowOff>
                  </from>
                  <to>
                    <xdr:col>3</xdr:col>
                    <xdr:colOff>66675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4" r:id="rId13" name="Check Box 28">
              <controlPr defaultSize="0" autoFill="0" autoLine="0" autoPict="0">
                <anchor moveWithCells="1">
                  <from>
                    <xdr:col>2</xdr:col>
                    <xdr:colOff>57150</xdr:colOff>
                    <xdr:row>14</xdr:row>
                    <xdr:rowOff>133350</xdr:rowOff>
                  </from>
                  <to>
                    <xdr:col>3</xdr:col>
                    <xdr:colOff>66675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5" r:id="rId14" name="Check Box 29">
              <controlPr defaultSize="0" autoFill="0" autoLine="0" autoPict="0">
                <anchor moveWithCells="1">
                  <from>
                    <xdr:col>2</xdr:col>
                    <xdr:colOff>57150</xdr:colOff>
                    <xdr:row>11</xdr:row>
                    <xdr:rowOff>133350</xdr:rowOff>
                  </from>
                  <to>
                    <xdr:col>3</xdr:col>
                    <xdr:colOff>66675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6" r:id="rId15" name="Check Box 30">
              <controlPr defaultSize="0" autoFill="0" autoLine="0" autoPict="0">
                <anchor moveWithCells="1">
                  <from>
                    <xdr:col>2</xdr:col>
                    <xdr:colOff>57150</xdr:colOff>
                    <xdr:row>11</xdr:row>
                    <xdr:rowOff>133350</xdr:rowOff>
                  </from>
                  <to>
                    <xdr:col>3</xdr:col>
                    <xdr:colOff>66675</xdr:colOff>
                    <xdr:row>13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29" r:id="rId16" name="Check Box 33">
              <controlPr defaultSize="0" autoFill="0" autoLine="0" autoPict="0">
                <anchor moveWithCells="1">
                  <from>
                    <xdr:col>2</xdr:col>
                    <xdr:colOff>57150</xdr:colOff>
                    <xdr:row>15</xdr:row>
                    <xdr:rowOff>142875</xdr:rowOff>
                  </from>
                  <to>
                    <xdr:col>3</xdr:col>
                    <xdr:colOff>66675</xdr:colOff>
                    <xdr:row>17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0" r:id="rId17" name="Check Box 34">
              <controlPr defaultSize="0" autoFill="0" autoLine="0" autoPict="0">
                <anchor moveWithCells="1">
                  <from>
                    <xdr:col>2</xdr:col>
                    <xdr:colOff>57150</xdr:colOff>
                    <xdr:row>15</xdr:row>
                    <xdr:rowOff>133350</xdr:rowOff>
                  </from>
                  <to>
                    <xdr:col>3</xdr:col>
                    <xdr:colOff>66675</xdr:colOff>
                    <xdr:row>17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1" r:id="rId18" name="Check Box 35">
              <controlPr defaultSize="0" autoFill="0" autoLine="0" autoPict="0">
                <anchor moveWithCells="1">
                  <from>
                    <xdr:col>2</xdr:col>
                    <xdr:colOff>57150</xdr:colOff>
                    <xdr:row>12</xdr:row>
                    <xdr:rowOff>142875</xdr:rowOff>
                  </from>
                  <to>
                    <xdr:col>3</xdr:col>
                    <xdr:colOff>66675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2" r:id="rId19" name="Check Box 36">
              <controlPr defaultSize="0" autoFill="0" autoLine="0" autoPict="0">
                <anchor moveWithCells="1">
                  <from>
                    <xdr:col>2</xdr:col>
                    <xdr:colOff>57150</xdr:colOff>
                    <xdr:row>12</xdr:row>
                    <xdr:rowOff>133350</xdr:rowOff>
                  </from>
                  <to>
                    <xdr:col>3</xdr:col>
                    <xdr:colOff>66675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3" r:id="rId20" name="Check Box 37">
              <controlPr defaultSize="0" autoFill="0" autoLine="0" autoPict="0">
                <anchor moveWithCells="1">
                  <from>
                    <xdr:col>2</xdr:col>
                    <xdr:colOff>57150</xdr:colOff>
                    <xdr:row>12</xdr:row>
                    <xdr:rowOff>133350</xdr:rowOff>
                  </from>
                  <to>
                    <xdr:col>3</xdr:col>
                    <xdr:colOff>66675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34" r:id="rId21" name="Check Box 38">
              <controlPr defaultSize="0" autoFill="0" autoLine="0" autoPict="0">
                <anchor moveWithCells="1">
                  <from>
                    <xdr:col>2</xdr:col>
                    <xdr:colOff>57150</xdr:colOff>
                    <xdr:row>12</xdr:row>
                    <xdr:rowOff>133350</xdr:rowOff>
                  </from>
                  <to>
                    <xdr:col>3</xdr:col>
                    <xdr:colOff>66675</xdr:colOff>
                    <xdr:row>14</xdr:row>
                    <xdr:rowOff>19050</xdr:rowOff>
                  </to>
                </anchor>
              </controlPr>
            </control>
          </mc:Choice>
        </mc:AlternateContent>
      </controls>
    </mc:Choice>
  </mc:AlternateContent>
  <tableParts count="1">
    <tablePart r:id="rId2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FFFF00"/>
  </sheetPr>
  <dimension ref="B1:G19"/>
  <sheetViews>
    <sheetView showGridLines="0" zoomScaleNormal="100" workbookViewId="0">
      <pane ySplit="2" topLeftCell="A3" activePane="bottomLeft" state="frozen"/>
      <selection activeCell="B5" sqref="B5:B10"/>
      <selection pane="bottomLeft" activeCell="B5" sqref="B5:B10"/>
    </sheetView>
  </sheetViews>
  <sheetFormatPr defaultRowHeight="13.5"/>
  <cols>
    <col min="1" max="1" width="9.140625" style="54"/>
    <col min="2" max="2" width="40.5703125" style="54" bestFit="1" customWidth="1"/>
    <col min="3" max="3" width="14.7109375" style="54" bestFit="1" customWidth="1"/>
    <col min="4" max="4" width="10.5703125" style="54" bestFit="1" customWidth="1"/>
    <col min="5" max="5" width="6.5703125" style="54" bestFit="1" customWidth="1"/>
    <col min="6" max="6" width="40" style="54" bestFit="1" customWidth="1"/>
    <col min="7" max="7" width="8.28515625" style="54" bestFit="1" customWidth="1"/>
    <col min="8" max="16384" width="9.140625" style="54"/>
  </cols>
  <sheetData>
    <row r="1" spans="2:7">
      <c r="B1" s="138" t="s">
        <v>198</v>
      </c>
    </row>
    <row r="2" spans="2:7">
      <c r="B2" s="139" t="s">
        <v>108</v>
      </c>
      <c r="C2" s="139" t="s">
        <v>110</v>
      </c>
      <c r="D2" s="139" t="s">
        <v>112</v>
      </c>
      <c r="E2" s="139" t="s">
        <v>167</v>
      </c>
      <c r="F2" s="139" t="s">
        <v>53</v>
      </c>
      <c r="G2" s="139" t="s">
        <v>171</v>
      </c>
    </row>
    <row r="3" spans="2:7">
      <c r="B3" s="140" t="s">
        <v>55</v>
      </c>
      <c r="C3" s="163">
        <v>0.05</v>
      </c>
      <c r="D3" s="163">
        <v>260</v>
      </c>
      <c r="E3" s="121" t="s">
        <v>8</v>
      </c>
      <c r="F3" s="122" t="s">
        <v>51</v>
      </c>
      <c r="G3" s="121" t="s">
        <v>172</v>
      </c>
    </row>
    <row r="4" spans="2:7">
      <c r="B4" s="194" t="s">
        <v>174</v>
      </c>
      <c r="C4" s="196">
        <v>0.64500000000000002</v>
      </c>
      <c r="D4" s="163">
        <v>1800</v>
      </c>
      <c r="E4" s="121" t="s">
        <v>8</v>
      </c>
      <c r="F4" s="122" t="s">
        <v>176</v>
      </c>
      <c r="G4" s="121" t="s">
        <v>172</v>
      </c>
    </row>
    <row r="5" spans="2:7">
      <c r="B5" s="195"/>
      <c r="C5" s="197"/>
      <c r="D5" s="163">
        <v>6250</v>
      </c>
      <c r="E5" s="121" t="s">
        <v>8</v>
      </c>
      <c r="F5" s="122" t="s">
        <v>177</v>
      </c>
      <c r="G5" s="121" t="s">
        <v>172</v>
      </c>
    </row>
    <row r="6" spans="2:7">
      <c r="B6" s="140" t="s">
        <v>175</v>
      </c>
      <c r="C6" s="164">
        <v>0.76100000000000001</v>
      </c>
      <c r="D6" s="163">
        <v>12500</v>
      </c>
      <c r="E6" s="121" t="s">
        <v>8</v>
      </c>
      <c r="F6" s="122" t="s">
        <v>178</v>
      </c>
      <c r="G6" s="121" t="s">
        <v>172</v>
      </c>
    </row>
    <row r="7" spans="2:7">
      <c r="B7" s="140" t="s">
        <v>179</v>
      </c>
      <c r="C7" s="163">
        <v>8.3999999999999995E-3</v>
      </c>
      <c r="D7" s="163">
        <v>590</v>
      </c>
      <c r="E7" s="121" t="s">
        <v>8</v>
      </c>
      <c r="F7" s="122" t="s">
        <v>180</v>
      </c>
      <c r="G7" s="121" t="s">
        <v>172</v>
      </c>
    </row>
    <row r="8" spans="2:7">
      <c r="B8" s="140" t="s">
        <v>9</v>
      </c>
      <c r="C8" s="164">
        <v>9.3999999999999997E-4</v>
      </c>
      <c r="D8" s="163">
        <v>0</v>
      </c>
      <c r="E8" s="121" t="s">
        <v>8</v>
      </c>
      <c r="F8" s="122" t="s">
        <v>89</v>
      </c>
      <c r="G8" s="121" t="s">
        <v>172</v>
      </c>
    </row>
    <row r="9" spans="2:7" ht="27">
      <c r="B9" s="140" t="s">
        <v>15</v>
      </c>
      <c r="C9" s="163">
        <v>1755</v>
      </c>
      <c r="D9" s="163">
        <v>0</v>
      </c>
      <c r="E9" s="121" t="s">
        <v>8</v>
      </c>
      <c r="F9" s="123" t="s">
        <v>139</v>
      </c>
      <c r="G9" s="121" t="s">
        <v>172</v>
      </c>
    </row>
    <row r="10" spans="2:7">
      <c r="B10" s="140" t="s">
        <v>31</v>
      </c>
      <c r="C10" s="164">
        <v>800</v>
      </c>
      <c r="D10" s="163">
        <v>0</v>
      </c>
      <c r="E10" s="121" t="s">
        <v>8</v>
      </c>
      <c r="F10" s="122" t="s">
        <v>140</v>
      </c>
      <c r="G10" s="121" t="s">
        <v>172</v>
      </c>
    </row>
    <row r="11" spans="2:7">
      <c r="B11" s="140" t="s">
        <v>38</v>
      </c>
      <c r="C11" s="163">
        <v>100</v>
      </c>
      <c r="D11" s="163">
        <v>0</v>
      </c>
      <c r="E11" s="121" t="s">
        <v>8</v>
      </c>
      <c r="F11" s="122" t="s">
        <v>181</v>
      </c>
      <c r="G11" s="121" t="s">
        <v>172</v>
      </c>
    </row>
    <row r="12" spans="2:7">
      <c r="B12" s="140" t="s">
        <v>102</v>
      </c>
      <c r="C12" s="164">
        <v>5</v>
      </c>
      <c r="D12" s="163">
        <v>0</v>
      </c>
      <c r="E12" s="121" t="s">
        <v>8</v>
      </c>
      <c r="F12" s="122" t="s">
        <v>43</v>
      </c>
      <c r="G12" s="121" t="s">
        <v>172</v>
      </c>
    </row>
    <row r="13" spans="2:7">
      <c r="B13" s="140" t="s">
        <v>103</v>
      </c>
      <c r="C13" s="163" t="s">
        <v>106</v>
      </c>
      <c r="D13" s="163">
        <v>0</v>
      </c>
      <c r="E13" s="121" t="s">
        <v>88</v>
      </c>
      <c r="F13" s="122"/>
      <c r="G13" s="121" t="s">
        <v>173</v>
      </c>
    </row>
    <row r="14" spans="2:7">
      <c r="B14" s="140" t="s">
        <v>104</v>
      </c>
      <c r="C14" s="164" t="s">
        <v>106</v>
      </c>
      <c r="D14" s="163">
        <v>0</v>
      </c>
      <c r="E14" s="121" t="s">
        <v>88</v>
      </c>
      <c r="F14" s="122"/>
      <c r="G14" s="121" t="s">
        <v>173</v>
      </c>
    </row>
    <row r="15" spans="2:7">
      <c r="B15" s="140" t="s">
        <v>105</v>
      </c>
      <c r="C15" s="163">
        <v>15000</v>
      </c>
      <c r="D15" s="163">
        <v>0</v>
      </c>
      <c r="E15" s="121" t="s">
        <v>57</v>
      </c>
      <c r="F15" s="122" t="s">
        <v>204</v>
      </c>
      <c r="G15" s="121" t="s">
        <v>173</v>
      </c>
    </row>
    <row r="16" spans="2:7">
      <c r="B16" s="140" t="s">
        <v>34</v>
      </c>
      <c r="C16" s="164">
        <v>150</v>
      </c>
      <c r="D16" s="163">
        <v>0</v>
      </c>
      <c r="E16" s="121" t="s">
        <v>8</v>
      </c>
      <c r="F16" s="122" t="s">
        <v>182</v>
      </c>
      <c r="G16" s="121" t="s">
        <v>172</v>
      </c>
    </row>
    <row r="17" spans="2:7">
      <c r="B17" s="140" t="s">
        <v>48</v>
      </c>
      <c r="C17" s="163">
        <v>50</v>
      </c>
      <c r="D17" s="163">
        <v>0</v>
      </c>
      <c r="E17" s="121" t="s">
        <v>8</v>
      </c>
      <c r="F17" s="122" t="s">
        <v>127</v>
      </c>
      <c r="G17" s="121" t="s">
        <v>172</v>
      </c>
    </row>
    <row r="18" spans="2:7">
      <c r="B18" s="140" t="s">
        <v>49</v>
      </c>
      <c r="C18" s="164">
        <v>150</v>
      </c>
      <c r="D18" s="163">
        <v>0</v>
      </c>
      <c r="E18" s="121" t="s">
        <v>8</v>
      </c>
      <c r="F18" s="122" t="s">
        <v>127</v>
      </c>
      <c r="G18" s="121" t="s">
        <v>172</v>
      </c>
    </row>
    <row r="19" spans="2:7">
      <c r="B19" s="140" t="s">
        <v>50</v>
      </c>
      <c r="C19" s="163">
        <v>0.373</v>
      </c>
      <c r="D19" s="163">
        <v>0</v>
      </c>
      <c r="E19" s="121" t="s">
        <v>8</v>
      </c>
      <c r="F19" s="122"/>
      <c r="G19" s="121" t="s">
        <v>172</v>
      </c>
    </row>
  </sheetData>
  <mergeCells count="2">
    <mergeCell ref="B4:B5"/>
    <mergeCell ref="C4:C5"/>
  </mergeCells>
  <conditionalFormatting sqref="G3:G7">
    <cfRule type="containsText" dxfId="29" priority="4" operator="containsText" text="Verified">
      <formula>NOT(ISERROR(SEARCH("Verified",G3)))</formula>
    </cfRule>
    <cfRule type="containsText" dxfId="28" priority="5" operator="containsText" text="Verified">
      <formula>NOT(ISERROR(SEARCH("Verified",G3)))</formula>
    </cfRule>
    <cfRule type="containsText" dxfId="27" priority="6" operator="containsText" text="Verified">
      <formula>NOT(ISERROR(SEARCH("Verified",G3)))</formula>
    </cfRule>
  </conditionalFormatting>
  <conditionalFormatting sqref="G8:G19">
    <cfRule type="containsText" dxfId="26" priority="1" operator="containsText" text="Verified">
      <formula>NOT(ISERROR(SEARCH("Verified",G8)))</formula>
    </cfRule>
    <cfRule type="containsText" dxfId="25" priority="2" operator="containsText" text="Verified">
      <formula>NOT(ISERROR(SEARCH("Verified",G8)))</formula>
    </cfRule>
    <cfRule type="containsText" dxfId="24" priority="3" operator="containsText" text="Verified">
      <formula>NOT(ISERROR(SEARCH("Verified",G8)))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FFFF00"/>
  </sheetPr>
  <dimension ref="B1:O31"/>
  <sheetViews>
    <sheetView showGridLines="0" zoomScaleNormal="100" workbookViewId="0">
      <pane ySplit="1" topLeftCell="A2" activePane="bottomLeft" state="frozen"/>
      <selection activeCell="B5" sqref="B5:B10"/>
      <selection pane="bottomLeft" activeCell="C17" sqref="C17"/>
    </sheetView>
  </sheetViews>
  <sheetFormatPr defaultRowHeight="13.5"/>
  <cols>
    <col min="1" max="1" width="9.140625" style="54"/>
    <col min="2" max="2" width="40.5703125" style="54" bestFit="1" customWidth="1"/>
    <col min="3" max="3" width="14.7109375" style="54" bestFit="1" customWidth="1"/>
    <col min="4" max="4" width="10.5703125" style="54" bestFit="1" customWidth="1"/>
    <col min="5" max="5" width="10.5703125" style="54" customWidth="1"/>
    <col min="6" max="6" width="42" style="54" bestFit="1" customWidth="1"/>
    <col min="7" max="7" width="8.28515625" style="54" bestFit="1" customWidth="1"/>
    <col min="8" max="14" width="9.140625" style="54"/>
    <col min="15" max="15" width="14" style="54" bestFit="1" customWidth="1"/>
    <col min="16" max="16384" width="9.140625" style="54"/>
  </cols>
  <sheetData>
    <row r="1" spans="2:7">
      <c r="B1" s="138" t="s">
        <v>197</v>
      </c>
    </row>
    <row r="2" spans="2:7" ht="18.75">
      <c r="B2" s="200" t="s">
        <v>109</v>
      </c>
      <c r="C2" s="200"/>
      <c r="D2" s="200"/>
      <c r="E2" s="200"/>
      <c r="F2" s="200"/>
      <c r="G2" s="112"/>
    </row>
    <row r="3" spans="2:7">
      <c r="B3" s="111" t="s">
        <v>108</v>
      </c>
      <c r="C3" s="111" t="s">
        <v>110</v>
      </c>
      <c r="D3" s="111" t="s">
        <v>112</v>
      </c>
      <c r="E3" s="139" t="s">
        <v>167</v>
      </c>
      <c r="F3" s="111" t="s">
        <v>53</v>
      </c>
      <c r="G3" s="111" t="s">
        <v>171</v>
      </c>
    </row>
    <row r="4" spans="2:7">
      <c r="B4" s="112" t="s">
        <v>55</v>
      </c>
      <c r="C4" s="165">
        <v>0.32579999999999998</v>
      </c>
      <c r="D4" s="166"/>
      <c r="E4" s="166"/>
      <c r="F4" s="112"/>
      <c r="G4" s="113" t="s">
        <v>172</v>
      </c>
    </row>
    <row r="5" spans="2:7">
      <c r="B5" s="112" t="s">
        <v>56</v>
      </c>
      <c r="C5" s="165">
        <v>0.56179999999999997</v>
      </c>
      <c r="D5" s="166"/>
      <c r="E5" s="166"/>
      <c r="F5" s="112"/>
      <c r="G5" s="113" t="s">
        <v>172</v>
      </c>
    </row>
    <row r="6" spans="2:7">
      <c r="B6" s="112"/>
      <c r="C6" s="166"/>
      <c r="D6" s="166"/>
      <c r="E6" s="166"/>
      <c r="F6" s="112"/>
      <c r="G6" s="113"/>
    </row>
    <row r="7" spans="2:7" ht="18.75">
      <c r="B7" s="200" t="s">
        <v>111</v>
      </c>
      <c r="C7" s="200"/>
      <c r="D7" s="200"/>
      <c r="E7" s="200"/>
      <c r="F7" s="200"/>
      <c r="G7" s="113"/>
    </row>
    <row r="8" spans="2:7">
      <c r="B8" s="111" t="s">
        <v>108</v>
      </c>
      <c r="C8" s="111" t="s">
        <v>110</v>
      </c>
      <c r="D8" s="111" t="s">
        <v>112</v>
      </c>
      <c r="E8" s="139" t="s">
        <v>167</v>
      </c>
      <c r="F8" s="111" t="s">
        <v>53</v>
      </c>
      <c r="G8" s="111"/>
    </row>
    <row r="9" spans="2:7">
      <c r="B9" s="114" t="s">
        <v>55</v>
      </c>
      <c r="C9" s="165">
        <v>0.05</v>
      </c>
      <c r="D9" s="165">
        <v>355</v>
      </c>
      <c r="E9" s="165" t="s">
        <v>8</v>
      </c>
      <c r="F9" s="112" t="s">
        <v>113</v>
      </c>
      <c r="G9" s="113" t="s">
        <v>172</v>
      </c>
    </row>
    <row r="10" spans="2:7">
      <c r="B10" s="199" t="s">
        <v>117</v>
      </c>
      <c r="C10" s="198">
        <v>0.9</v>
      </c>
      <c r="D10" s="165">
        <v>3600</v>
      </c>
      <c r="E10" s="165" t="s">
        <v>8</v>
      </c>
      <c r="F10" s="122" t="s">
        <v>114</v>
      </c>
      <c r="G10" s="113" t="s">
        <v>172</v>
      </c>
    </row>
    <row r="11" spans="2:7">
      <c r="B11" s="199"/>
      <c r="C11" s="198"/>
      <c r="D11" s="165">
        <v>6850</v>
      </c>
      <c r="E11" s="165" t="s">
        <v>8</v>
      </c>
      <c r="F11" s="122" t="s">
        <v>115</v>
      </c>
      <c r="G11" s="113" t="s">
        <v>172</v>
      </c>
    </row>
    <row r="12" spans="2:7">
      <c r="B12" s="199"/>
      <c r="C12" s="198"/>
      <c r="D12" s="165">
        <v>14600</v>
      </c>
      <c r="E12" s="165" t="s">
        <v>8</v>
      </c>
      <c r="F12" s="122" t="s">
        <v>116</v>
      </c>
      <c r="G12" s="113" t="s">
        <v>172</v>
      </c>
    </row>
    <row r="13" spans="2:7">
      <c r="B13" s="115" t="s">
        <v>124</v>
      </c>
      <c r="C13" s="167">
        <v>0.75</v>
      </c>
      <c r="D13" s="165">
        <v>6850</v>
      </c>
      <c r="E13" s="165" t="s">
        <v>8</v>
      </c>
      <c r="F13" s="141" t="s">
        <v>121</v>
      </c>
      <c r="G13" s="113" t="s">
        <v>172</v>
      </c>
    </row>
    <row r="14" spans="2:7">
      <c r="B14" s="199" t="s">
        <v>125</v>
      </c>
      <c r="C14" s="198">
        <v>0.9</v>
      </c>
      <c r="D14" s="165">
        <v>6850</v>
      </c>
      <c r="E14" s="165" t="s">
        <v>8</v>
      </c>
      <c r="F14" s="122" t="s">
        <v>118</v>
      </c>
      <c r="G14" s="113" t="s">
        <v>172</v>
      </c>
    </row>
    <row r="15" spans="2:7">
      <c r="B15" s="199"/>
      <c r="C15" s="198"/>
      <c r="D15" s="165">
        <v>14600</v>
      </c>
      <c r="E15" s="165" t="s">
        <v>8</v>
      </c>
      <c r="F15" s="122" t="s">
        <v>119</v>
      </c>
      <c r="G15" s="113" t="s">
        <v>172</v>
      </c>
    </row>
    <row r="16" spans="2:7">
      <c r="B16" s="199"/>
      <c r="C16" s="167">
        <v>0.96</v>
      </c>
      <c r="D16" s="165">
        <v>0</v>
      </c>
      <c r="E16" s="165" t="s">
        <v>8</v>
      </c>
      <c r="F16" s="122" t="s">
        <v>120</v>
      </c>
      <c r="G16" s="113" t="s">
        <v>172</v>
      </c>
    </row>
    <row r="17" spans="2:15" ht="27">
      <c r="B17" s="116" t="s">
        <v>183</v>
      </c>
      <c r="C17" s="166">
        <v>0.06</v>
      </c>
      <c r="D17" s="166">
        <v>438.6</v>
      </c>
      <c r="E17" s="165" t="s">
        <v>8</v>
      </c>
      <c r="F17" s="112" t="s">
        <v>123</v>
      </c>
      <c r="G17" s="113" t="s">
        <v>172</v>
      </c>
      <c r="O17" s="125"/>
    </row>
    <row r="18" spans="2:15" ht="27">
      <c r="B18" s="116" t="s">
        <v>183</v>
      </c>
      <c r="C18" s="166">
        <v>0.04</v>
      </c>
      <c r="D18" s="166">
        <v>438.6</v>
      </c>
      <c r="E18" s="165" t="s">
        <v>8</v>
      </c>
      <c r="F18" s="112" t="s">
        <v>122</v>
      </c>
      <c r="G18" s="113" t="s">
        <v>172</v>
      </c>
    </row>
    <row r="19" spans="2:15">
      <c r="B19" s="118" t="s">
        <v>9</v>
      </c>
      <c r="C19" s="166">
        <v>9.3999999999999997E-4</v>
      </c>
      <c r="D19" s="166">
        <v>0</v>
      </c>
      <c r="E19" s="165" t="s">
        <v>8</v>
      </c>
      <c r="F19" s="117" t="s">
        <v>137</v>
      </c>
      <c r="G19" s="113" t="s">
        <v>172</v>
      </c>
    </row>
    <row r="20" spans="2:15" ht="27">
      <c r="B20" s="118" t="s">
        <v>15</v>
      </c>
      <c r="C20" s="166">
        <v>1755</v>
      </c>
      <c r="D20" s="166">
        <v>440</v>
      </c>
      <c r="E20" s="165" t="s">
        <v>8</v>
      </c>
      <c r="F20" s="117" t="s">
        <v>139</v>
      </c>
      <c r="G20" s="113" t="s">
        <v>172</v>
      </c>
    </row>
    <row r="21" spans="2:15">
      <c r="B21" s="118" t="s">
        <v>31</v>
      </c>
      <c r="C21" s="166">
        <v>800</v>
      </c>
      <c r="D21" s="166">
        <v>0</v>
      </c>
      <c r="E21" s="165" t="s">
        <v>8</v>
      </c>
      <c r="F21" s="117" t="s">
        <v>138</v>
      </c>
      <c r="G21" s="113" t="s">
        <v>172</v>
      </c>
    </row>
    <row r="22" spans="2:15">
      <c r="B22" s="114" t="s">
        <v>38</v>
      </c>
      <c r="C22" s="166">
        <v>100</v>
      </c>
      <c r="D22" s="166">
        <v>0</v>
      </c>
      <c r="E22" s="165" t="s">
        <v>8</v>
      </c>
      <c r="F22" s="112" t="s">
        <v>126</v>
      </c>
      <c r="G22" s="113" t="s">
        <v>172</v>
      </c>
    </row>
    <row r="23" spans="2:15">
      <c r="B23" s="114" t="s">
        <v>102</v>
      </c>
      <c r="C23" s="166">
        <v>5</v>
      </c>
      <c r="D23" s="166">
        <v>0</v>
      </c>
      <c r="E23" s="165" t="s">
        <v>8</v>
      </c>
      <c r="F23" s="112" t="s">
        <v>43</v>
      </c>
      <c r="G23" s="113" t="s">
        <v>172</v>
      </c>
    </row>
    <row r="24" spans="2:15">
      <c r="B24" s="114" t="s">
        <v>103</v>
      </c>
      <c r="C24" s="166" t="s">
        <v>106</v>
      </c>
      <c r="D24" s="166">
        <v>0</v>
      </c>
      <c r="E24" s="165" t="s">
        <v>88</v>
      </c>
      <c r="F24" s="112"/>
      <c r="G24" s="113" t="s">
        <v>172</v>
      </c>
    </row>
    <row r="25" spans="2:15">
      <c r="B25" s="114" t="s">
        <v>104</v>
      </c>
      <c r="C25" s="166" t="s">
        <v>106</v>
      </c>
      <c r="D25" s="166">
        <v>0</v>
      </c>
      <c r="E25" s="165" t="s">
        <v>88</v>
      </c>
      <c r="F25" s="122"/>
      <c r="G25" s="113" t="s">
        <v>172</v>
      </c>
    </row>
    <row r="26" spans="2:15">
      <c r="B26" s="114" t="s">
        <v>105</v>
      </c>
      <c r="C26" s="166">
        <v>15000</v>
      </c>
      <c r="D26" s="166">
        <v>0</v>
      </c>
      <c r="E26" s="174" t="s">
        <v>57</v>
      </c>
      <c r="F26" s="175" t="s">
        <v>143</v>
      </c>
      <c r="G26" s="113" t="s">
        <v>172</v>
      </c>
    </row>
    <row r="27" spans="2:15">
      <c r="B27" s="114" t="s">
        <v>34</v>
      </c>
      <c r="C27" s="166">
        <v>150</v>
      </c>
      <c r="D27" s="166">
        <v>0</v>
      </c>
      <c r="E27" s="165" t="s">
        <v>8</v>
      </c>
      <c r="F27" s="122" t="s">
        <v>141</v>
      </c>
      <c r="G27" s="113" t="s">
        <v>172</v>
      </c>
    </row>
    <row r="28" spans="2:15">
      <c r="B28" s="114" t="s">
        <v>48</v>
      </c>
      <c r="C28" s="166">
        <v>50</v>
      </c>
      <c r="D28" s="166">
        <v>0</v>
      </c>
      <c r="E28" s="165" t="s">
        <v>8</v>
      </c>
      <c r="F28" s="122" t="s">
        <v>127</v>
      </c>
      <c r="G28" s="113" t="s">
        <v>172</v>
      </c>
    </row>
    <row r="29" spans="2:15">
      <c r="B29" s="114" t="s">
        <v>49</v>
      </c>
      <c r="C29" s="166">
        <v>150</v>
      </c>
      <c r="D29" s="166">
        <v>0</v>
      </c>
      <c r="E29" s="165" t="s">
        <v>8</v>
      </c>
      <c r="F29" s="122" t="s">
        <v>127</v>
      </c>
      <c r="G29" s="113" t="s">
        <v>172</v>
      </c>
    </row>
    <row r="30" spans="2:15">
      <c r="B30" s="114" t="s">
        <v>50</v>
      </c>
      <c r="C30" s="166">
        <v>2.5</v>
      </c>
      <c r="D30" s="166">
        <v>0</v>
      </c>
      <c r="E30" s="174" t="s">
        <v>57</v>
      </c>
      <c r="F30" s="122" t="s">
        <v>142</v>
      </c>
      <c r="G30" s="113" t="s">
        <v>172</v>
      </c>
    </row>
    <row r="31" spans="2:15">
      <c r="B31" s="86"/>
      <c r="F31" s="142"/>
    </row>
  </sheetData>
  <mergeCells count="6">
    <mergeCell ref="C10:C12"/>
    <mergeCell ref="B10:B12"/>
    <mergeCell ref="B2:F2"/>
    <mergeCell ref="B7:F7"/>
    <mergeCell ref="B14:B16"/>
    <mergeCell ref="C14:C15"/>
  </mergeCells>
  <conditionalFormatting sqref="G4:G7 G9:G19">
    <cfRule type="containsText" dxfId="23" priority="4" operator="containsText" text="Verified">
      <formula>NOT(ISERROR(SEARCH("Verified",G4)))</formula>
    </cfRule>
    <cfRule type="containsText" dxfId="22" priority="5" operator="containsText" text="Verified">
      <formula>NOT(ISERROR(SEARCH("Verified",G4)))</formula>
    </cfRule>
    <cfRule type="containsText" dxfId="21" priority="6" operator="containsText" text="Verified">
      <formula>NOT(ISERROR(SEARCH("Verified",G4)))</formula>
    </cfRule>
  </conditionalFormatting>
  <conditionalFormatting sqref="G20:G30">
    <cfRule type="containsText" dxfId="20" priority="1" operator="containsText" text="Verified">
      <formula>NOT(ISERROR(SEARCH("Verified",G20)))</formula>
    </cfRule>
    <cfRule type="containsText" dxfId="19" priority="2" operator="containsText" text="Verified">
      <formula>NOT(ISERROR(SEARCH("Verified",G20)))</formula>
    </cfRule>
    <cfRule type="containsText" dxfId="18" priority="3" operator="containsText" text="Verified">
      <formula>NOT(ISERROR(SEARCH("Verified",G20)))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FFFF00"/>
  </sheetPr>
  <dimension ref="B1:H19"/>
  <sheetViews>
    <sheetView showGridLines="0" zoomScaleNormal="100" workbookViewId="0">
      <pane ySplit="1" topLeftCell="A2" activePane="bottomLeft" state="frozen"/>
      <selection activeCell="B5" sqref="B5:B10"/>
      <selection pane="bottomLeft" activeCell="B5" sqref="B5:B10"/>
    </sheetView>
  </sheetViews>
  <sheetFormatPr defaultRowHeight="13.5"/>
  <cols>
    <col min="1" max="1" width="9.140625" style="54"/>
    <col min="2" max="2" width="40.5703125" style="54" bestFit="1" customWidth="1"/>
    <col min="3" max="3" width="14.7109375" style="54" bestFit="1" customWidth="1"/>
    <col min="4" max="4" width="10.5703125" style="54" bestFit="1" customWidth="1"/>
    <col min="5" max="5" width="10.5703125" style="54" customWidth="1"/>
    <col min="6" max="6" width="45.5703125" style="54" bestFit="1" customWidth="1"/>
    <col min="7" max="7" width="8.28515625" style="54" bestFit="1" customWidth="1"/>
    <col min="8" max="16384" width="9.140625" style="54"/>
  </cols>
  <sheetData>
    <row r="1" spans="2:8">
      <c r="B1" s="138" t="s">
        <v>199</v>
      </c>
    </row>
    <row r="2" spans="2:8">
      <c r="B2" s="111" t="s">
        <v>108</v>
      </c>
      <c r="C2" s="111" t="s">
        <v>110</v>
      </c>
      <c r="D2" s="111" t="s">
        <v>112</v>
      </c>
      <c r="E2" s="111" t="s">
        <v>167</v>
      </c>
      <c r="F2" s="111" t="s">
        <v>53</v>
      </c>
      <c r="G2" s="111" t="s">
        <v>171</v>
      </c>
    </row>
    <row r="3" spans="2:8">
      <c r="B3" s="114" t="s">
        <v>55</v>
      </c>
      <c r="C3" s="165">
        <v>0.05</v>
      </c>
      <c r="D3" s="165">
        <v>0</v>
      </c>
      <c r="E3" s="165" t="s">
        <v>8</v>
      </c>
      <c r="F3" s="112" t="s">
        <v>184</v>
      </c>
      <c r="G3" s="113" t="s">
        <v>172</v>
      </c>
    </row>
    <row r="4" spans="2:8">
      <c r="B4" s="201" t="s">
        <v>56</v>
      </c>
      <c r="C4" s="167">
        <v>1.9731000000000001</v>
      </c>
      <c r="D4" s="165">
        <v>0</v>
      </c>
      <c r="E4" s="165" t="s">
        <v>8</v>
      </c>
      <c r="F4" s="122" t="s">
        <v>186</v>
      </c>
      <c r="G4" s="113" t="s">
        <v>172</v>
      </c>
    </row>
    <row r="5" spans="2:8">
      <c r="B5" s="202"/>
      <c r="C5" s="167">
        <v>2.0743</v>
      </c>
      <c r="D5" s="165">
        <v>0</v>
      </c>
      <c r="E5" s="165" t="s">
        <v>8</v>
      </c>
      <c r="F5" s="122" t="s">
        <v>185</v>
      </c>
      <c r="G5" s="113" t="s">
        <v>172</v>
      </c>
    </row>
    <row r="6" spans="2:8">
      <c r="B6" s="201" t="s">
        <v>131</v>
      </c>
      <c r="C6" s="166">
        <v>0.01</v>
      </c>
      <c r="D6" s="165">
        <v>0</v>
      </c>
      <c r="E6" s="165" t="s">
        <v>8</v>
      </c>
      <c r="F6" s="122" t="s">
        <v>186</v>
      </c>
      <c r="G6" s="113" t="s">
        <v>172</v>
      </c>
    </row>
    <row r="7" spans="2:8">
      <c r="B7" s="202"/>
      <c r="C7" s="166">
        <v>1.0500000000000001E-2</v>
      </c>
      <c r="D7" s="165">
        <v>0</v>
      </c>
      <c r="E7" s="165" t="s">
        <v>8</v>
      </c>
      <c r="F7" s="122" t="s">
        <v>185</v>
      </c>
      <c r="G7" s="113" t="s">
        <v>172</v>
      </c>
    </row>
    <row r="8" spans="2:8">
      <c r="B8" s="118" t="s">
        <v>9</v>
      </c>
      <c r="C8" s="166">
        <v>1E-3</v>
      </c>
      <c r="D8" s="165">
        <v>0</v>
      </c>
      <c r="E8" s="165" t="s">
        <v>8</v>
      </c>
      <c r="F8" s="123"/>
      <c r="G8" s="113" t="s">
        <v>172</v>
      </c>
    </row>
    <row r="9" spans="2:8">
      <c r="B9" s="118" t="s">
        <v>15</v>
      </c>
      <c r="C9" s="166">
        <v>540</v>
      </c>
      <c r="D9" s="165">
        <v>0</v>
      </c>
      <c r="E9" s="165" t="s">
        <v>8</v>
      </c>
      <c r="F9" s="123" t="s">
        <v>187</v>
      </c>
      <c r="G9" s="113" t="s">
        <v>172</v>
      </c>
    </row>
    <row r="10" spans="2:8">
      <c r="B10" s="118" t="s">
        <v>31</v>
      </c>
      <c r="C10" s="166">
        <v>800</v>
      </c>
      <c r="D10" s="165">
        <v>0</v>
      </c>
      <c r="E10" s="165" t="s">
        <v>8</v>
      </c>
      <c r="F10" s="123" t="s">
        <v>140</v>
      </c>
      <c r="G10" s="113" t="s">
        <v>172</v>
      </c>
    </row>
    <row r="11" spans="2:8">
      <c r="B11" s="114" t="s">
        <v>38</v>
      </c>
      <c r="C11" s="166">
        <v>100</v>
      </c>
      <c r="D11" s="165"/>
      <c r="E11" s="165" t="s">
        <v>8</v>
      </c>
      <c r="F11" s="122"/>
      <c r="G11" s="113" t="s">
        <v>172</v>
      </c>
      <c r="H11" s="106"/>
    </row>
    <row r="12" spans="2:8">
      <c r="B12" s="114" t="s">
        <v>102</v>
      </c>
      <c r="C12" s="166">
        <v>3</v>
      </c>
      <c r="D12" s="165"/>
      <c r="E12" s="165" t="s">
        <v>8</v>
      </c>
      <c r="F12" s="122"/>
      <c r="G12" s="113" t="s">
        <v>172</v>
      </c>
      <c r="H12" s="106"/>
    </row>
    <row r="13" spans="2:8">
      <c r="B13" s="114" t="s">
        <v>103</v>
      </c>
      <c r="C13" s="166" t="s">
        <v>106</v>
      </c>
      <c r="D13" s="165"/>
      <c r="E13" s="165" t="s">
        <v>88</v>
      </c>
      <c r="F13" s="122"/>
      <c r="G13" s="113" t="s">
        <v>172</v>
      </c>
    </row>
    <row r="14" spans="2:8">
      <c r="B14" s="114" t="s">
        <v>104</v>
      </c>
      <c r="C14" s="166">
        <v>90</v>
      </c>
      <c r="D14" s="165">
        <v>0</v>
      </c>
      <c r="E14" s="165" t="s">
        <v>8</v>
      </c>
      <c r="F14" s="122" t="s">
        <v>188</v>
      </c>
      <c r="G14" s="113" t="s">
        <v>172</v>
      </c>
    </row>
    <row r="15" spans="2:8">
      <c r="B15" s="114" t="s">
        <v>105</v>
      </c>
      <c r="C15" s="166" t="s">
        <v>106</v>
      </c>
      <c r="D15" s="165"/>
      <c r="E15" s="165" t="s">
        <v>88</v>
      </c>
      <c r="F15" s="122"/>
      <c r="G15" s="113" t="s">
        <v>172</v>
      </c>
    </row>
    <row r="16" spans="2:8">
      <c r="B16" s="114" t="s">
        <v>34</v>
      </c>
      <c r="C16" s="166">
        <v>150</v>
      </c>
      <c r="D16" s="165">
        <v>0</v>
      </c>
      <c r="E16" s="165" t="s">
        <v>8</v>
      </c>
      <c r="F16" s="122" t="s">
        <v>141</v>
      </c>
      <c r="G16" s="113" t="s">
        <v>172</v>
      </c>
    </row>
    <row r="17" spans="2:7">
      <c r="B17" s="114" t="s">
        <v>48</v>
      </c>
      <c r="C17" s="166">
        <v>20</v>
      </c>
      <c r="D17" s="165">
        <v>0</v>
      </c>
      <c r="E17" s="165" t="s">
        <v>8</v>
      </c>
      <c r="F17" s="122" t="s">
        <v>127</v>
      </c>
      <c r="G17" s="113" t="s">
        <v>172</v>
      </c>
    </row>
    <row r="18" spans="2:7">
      <c r="B18" s="114" t="s">
        <v>49</v>
      </c>
      <c r="C18" s="166">
        <v>150</v>
      </c>
      <c r="D18" s="165">
        <v>0</v>
      </c>
      <c r="E18" s="165" t="s">
        <v>8</v>
      </c>
      <c r="F18" s="122" t="s">
        <v>127</v>
      </c>
      <c r="G18" s="113" t="s">
        <v>172</v>
      </c>
    </row>
    <row r="19" spans="2:7">
      <c r="B19" s="114" t="s">
        <v>50</v>
      </c>
      <c r="C19" s="166">
        <v>0</v>
      </c>
      <c r="D19" s="165"/>
      <c r="E19" s="165" t="s">
        <v>88</v>
      </c>
      <c r="F19" s="122"/>
      <c r="G19" s="113" t="s">
        <v>172</v>
      </c>
    </row>
  </sheetData>
  <mergeCells count="2">
    <mergeCell ref="B4:B5"/>
    <mergeCell ref="B6:B7"/>
  </mergeCells>
  <conditionalFormatting sqref="G3:G6 G8:G18">
    <cfRule type="containsText" dxfId="17" priority="7" operator="containsText" text="Verified">
      <formula>NOT(ISERROR(SEARCH("Verified",G3)))</formula>
    </cfRule>
    <cfRule type="containsText" dxfId="16" priority="8" operator="containsText" text="Verified">
      <formula>NOT(ISERROR(SEARCH("Verified",G3)))</formula>
    </cfRule>
    <cfRule type="containsText" dxfId="15" priority="9" operator="containsText" text="Verified">
      <formula>NOT(ISERROR(SEARCH("Verified",G3)))</formula>
    </cfRule>
  </conditionalFormatting>
  <conditionalFormatting sqref="G19">
    <cfRule type="containsText" dxfId="14" priority="4" operator="containsText" text="Verified">
      <formula>NOT(ISERROR(SEARCH("Verified",G19)))</formula>
    </cfRule>
    <cfRule type="containsText" dxfId="13" priority="5" operator="containsText" text="Verified">
      <formula>NOT(ISERROR(SEARCH("Verified",G19)))</formula>
    </cfRule>
    <cfRule type="containsText" dxfId="12" priority="6" operator="containsText" text="Verified">
      <formula>NOT(ISERROR(SEARCH("Verified",G19)))</formula>
    </cfRule>
  </conditionalFormatting>
  <conditionalFormatting sqref="G7">
    <cfRule type="containsText" dxfId="11" priority="1" operator="containsText" text="Verified">
      <formula>NOT(ISERROR(SEARCH("Verified",G7)))</formula>
    </cfRule>
    <cfRule type="containsText" dxfId="10" priority="2" operator="containsText" text="Verified">
      <formula>NOT(ISERROR(SEARCH("Verified",G7)))</formula>
    </cfRule>
    <cfRule type="containsText" dxfId="9" priority="3" operator="containsText" text="Verified">
      <formula>NOT(ISERROR(SEARCH("Verified",G7)))</formula>
    </cfRule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FFFF00"/>
  </sheetPr>
  <dimension ref="B1:G20"/>
  <sheetViews>
    <sheetView showGridLines="0" zoomScaleNormal="100" workbookViewId="0">
      <pane ySplit="1" topLeftCell="A4" activePane="bottomLeft" state="frozen"/>
      <selection activeCell="B5" sqref="B5:B10"/>
      <selection pane="bottomLeft" activeCell="B5" sqref="B5:B10"/>
    </sheetView>
  </sheetViews>
  <sheetFormatPr defaultRowHeight="13.5"/>
  <cols>
    <col min="1" max="1" width="9.140625" style="54"/>
    <col min="2" max="2" width="40.5703125" style="54" bestFit="1" customWidth="1"/>
    <col min="3" max="3" width="14.7109375" style="54" bestFit="1" customWidth="1"/>
    <col min="4" max="4" width="10.5703125" style="54" bestFit="1" customWidth="1"/>
    <col min="5" max="5" width="10.5703125" style="54" customWidth="1"/>
    <col min="6" max="6" width="41.5703125" style="54" bestFit="1" customWidth="1"/>
    <col min="7" max="7" width="8.28515625" style="54" bestFit="1" customWidth="1"/>
    <col min="8" max="16384" width="9.140625" style="54"/>
  </cols>
  <sheetData>
    <row r="1" spans="2:7">
      <c r="B1" s="138" t="s">
        <v>200</v>
      </c>
    </row>
    <row r="2" spans="2:7">
      <c r="B2" s="111" t="s">
        <v>108</v>
      </c>
      <c r="C2" s="111" t="s">
        <v>110</v>
      </c>
      <c r="D2" s="111" t="s">
        <v>112</v>
      </c>
      <c r="E2" s="111" t="s">
        <v>167</v>
      </c>
      <c r="F2" s="111" t="s">
        <v>53</v>
      </c>
      <c r="G2" s="111" t="s">
        <v>171</v>
      </c>
    </row>
    <row r="3" spans="2:7">
      <c r="B3" s="114" t="s">
        <v>55</v>
      </c>
      <c r="C3" s="165">
        <v>0.2</v>
      </c>
      <c r="D3" s="165">
        <v>1200</v>
      </c>
      <c r="E3" s="165" t="s">
        <v>8</v>
      </c>
      <c r="F3" s="112" t="s">
        <v>113</v>
      </c>
      <c r="G3" s="113" t="s">
        <v>172</v>
      </c>
    </row>
    <row r="4" spans="2:7">
      <c r="B4" s="199" t="s">
        <v>59</v>
      </c>
      <c r="C4" s="167">
        <v>1.46</v>
      </c>
      <c r="D4" s="165">
        <v>900</v>
      </c>
      <c r="E4" s="165" t="s">
        <v>8</v>
      </c>
      <c r="F4" s="112" t="s">
        <v>128</v>
      </c>
      <c r="G4" s="113" t="s">
        <v>172</v>
      </c>
    </row>
    <row r="5" spans="2:7" ht="27">
      <c r="B5" s="199"/>
      <c r="C5" s="167">
        <v>0.86</v>
      </c>
      <c r="D5" s="165">
        <v>600</v>
      </c>
      <c r="E5" s="165" t="s">
        <v>8</v>
      </c>
      <c r="F5" s="117" t="s">
        <v>129</v>
      </c>
      <c r="G5" s="113" t="s">
        <v>172</v>
      </c>
    </row>
    <row r="6" spans="2:7">
      <c r="B6" s="201" t="s">
        <v>131</v>
      </c>
      <c r="C6" s="166">
        <v>1.8149999999999999E-2</v>
      </c>
      <c r="D6" s="165">
        <v>800</v>
      </c>
      <c r="E6" s="165" t="s">
        <v>8</v>
      </c>
      <c r="F6" s="112" t="s">
        <v>130</v>
      </c>
      <c r="G6" s="113" t="s">
        <v>172</v>
      </c>
    </row>
    <row r="7" spans="2:7" ht="27">
      <c r="B7" s="202"/>
      <c r="C7" s="166">
        <v>8.2500000000000004E-3</v>
      </c>
      <c r="D7" s="165">
        <v>600</v>
      </c>
      <c r="E7" s="165" t="s">
        <v>8</v>
      </c>
      <c r="F7" s="117" t="s">
        <v>129</v>
      </c>
      <c r="G7" s="113" t="s">
        <v>172</v>
      </c>
    </row>
    <row r="8" spans="2:7">
      <c r="B8" s="118" t="s">
        <v>9</v>
      </c>
      <c r="C8" s="166">
        <v>1.25E-3</v>
      </c>
      <c r="D8" s="165">
        <v>0</v>
      </c>
      <c r="E8" s="165" t="s">
        <v>8</v>
      </c>
      <c r="F8" s="117" t="s">
        <v>137</v>
      </c>
      <c r="G8" s="113" t="s">
        <v>172</v>
      </c>
    </row>
    <row r="9" spans="2:7">
      <c r="B9" s="118" t="s">
        <v>15</v>
      </c>
      <c r="C9" s="166">
        <v>600</v>
      </c>
      <c r="D9" s="165">
        <v>0</v>
      </c>
      <c r="E9" s="165" t="s">
        <v>8</v>
      </c>
      <c r="F9" s="117" t="s">
        <v>138</v>
      </c>
      <c r="G9" s="113" t="s">
        <v>172</v>
      </c>
    </row>
    <row r="10" spans="2:7">
      <c r="B10" s="118" t="s">
        <v>31</v>
      </c>
      <c r="C10" s="166">
        <v>800</v>
      </c>
      <c r="D10" s="165"/>
      <c r="E10" s="165" t="s">
        <v>8</v>
      </c>
      <c r="F10" s="117" t="s">
        <v>138</v>
      </c>
      <c r="G10" s="113" t="s">
        <v>172</v>
      </c>
    </row>
    <row r="11" spans="2:7">
      <c r="B11" s="114" t="s">
        <v>38</v>
      </c>
      <c r="C11" s="166">
        <v>100</v>
      </c>
      <c r="D11" s="165"/>
      <c r="E11" s="165" t="s">
        <v>8</v>
      </c>
      <c r="F11" s="112" t="s">
        <v>132</v>
      </c>
      <c r="G11" s="113" t="s">
        <v>172</v>
      </c>
    </row>
    <row r="12" spans="2:7">
      <c r="B12" s="114" t="s">
        <v>102</v>
      </c>
      <c r="C12" s="166">
        <v>5</v>
      </c>
      <c r="D12" s="165"/>
      <c r="E12" s="165" t="s">
        <v>8</v>
      </c>
      <c r="F12" s="112" t="s">
        <v>43</v>
      </c>
      <c r="G12" s="113" t="s">
        <v>172</v>
      </c>
    </row>
    <row r="13" spans="2:7" ht="40.5">
      <c r="B13" s="114" t="s">
        <v>103</v>
      </c>
      <c r="C13" s="166">
        <v>2000</v>
      </c>
      <c r="D13" s="165"/>
      <c r="E13" s="165" t="s">
        <v>8</v>
      </c>
      <c r="F13" s="117" t="s">
        <v>136</v>
      </c>
      <c r="G13" s="113" t="s">
        <v>172</v>
      </c>
    </row>
    <row r="14" spans="2:7">
      <c r="B14" s="114" t="s">
        <v>104</v>
      </c>
      <c r="C14" s="166">
        <v>90</v>
      </c>
      <c r="D14" s="165"/>
      <c r="E14" s="165" t="s">
        <v>8</v>
      </c>
      <c r="F14" s="112" t="s">
        <v>135</v>
      </c>
      <c r="G14" s="113" t="s">
        <v>172</v>
      </c>
    </row>
    <row r="15" spans="2:7" ht="27">
      <c r="B15" s="114" t="s">
        <v>105</v>
      </c>
      <c r="C15" s="166">
        <v>620</v>
      </c>
      <c r="D15" s="165"/>
      <c r="E15" s="165" t="s">
        <v>8</v>
      </c>
      <c r="F15" s="117" t="s">
        <v>134</v>
      </c>
      <c r="G15" s="113" t="s">
        <v>172</v>
      </c>
    </row>
    <row r="16" spans="2:7">
      <c r="B16" s="114" t="s">
        <v>34</v>
      </c>
      <c r="C16" s="166">
        <v>150</v>
      </c>
      <c r="D16" s="165"/>
      <c r="E16" s="165" t="s">
        <v>8</v>
      </c>
      <c r="F16" s="112" t="s">
        <v>133</v>
      </c>
      <c r="G16" s="113" t="s">
        <v>172</v>
      </c>
    </row>
    <row r="17" spans="2:7">
      <c r="B17" s="114" t="s">
        <v>48</v>
      </c>
      <c r="C17" s="166">
        <v>20</v>
      </c>
      <c r="D17" s="165"/>
      <c r="E17" s="165" t="s">
        <v>8</v>
      </c>
      <c r="F17" s="112" t="s">
        <v>127</v>
      </c>
      <c r="G17" s="113" t="s">
        <v>172</v>
      </c>
    </row>
    <row r="18" spans="2:7">
      <c r="B18" s="114" t="s">
        <v>49</v>
      </c>
      <c r="C18" s="166">
        <v>150</v>
      </c>
      <c r="D18" s="165"/>
      <c r="E18" s="165" t="s">
        <v>8</v>
      </c>
      <c r="F18" s="112" t="s">
        <v>127</v>
      </c>
      <c r="G18" s="113" t="s">
        <v>172</v>
      </c>
    </row>
    <row r="19" spans="2:7">
      <c r="B19" s="114" t="s">
        <v>50</v>
      </c>
      <c r="C19" s="166">
        <v>0</v>
      </c>
      <c r="D19" s="165"/>
      <c r="E19" s="165" t="s">
        <v>88</v>
      </c>
      <c r="F19" s="112"/>
      <c r="G19" s="113" t="s">
        <v>172</v>
      </c>
    </row>
    <row r="20" spans="2:7">
      <c r="B20" s="86"/>
    </row>
  </sheetData>
  <mergeCells count="2">
    <mergeCell ref="B6:B7"/>
    <mergeCell ref="B4:B5"/>
  </mergeCells>
  <conditionalFormatting sqref="G3">
    <cfRule type="containsText" dxfId="8" priority="4" operator="containsText" text="Verified">
      <formula>NOT(ISERROR(SEARCH("Verified",G3)))</formula>
    </cfRule>
    <cfRule type="containsText" dxfId="7" priority="5" operator="containsText" text="Verified">
      <formula>NOT(ISERROR(SEARCH("Verified",G3)))</formula>
    </cfRule>
    <cfRule type="containsText" dxfId="6" priority="6" operator="containsText" text="Verified">
      <formula>NOT(ISERROR(SEARCH("Verified",G3)))</formula>
    </cfRule>
  </conditionalFormatting>
  <conditionalFormatting sqref="G4:G19">
    <cfRule type="containsText" dxfId="5" priority="1" operator="containsText" text="Verified">
      <formula>NOT(ISERROR(SEARCH("Verified",G4)))</formula>
    </cfRule>
    <cfRule type="containsText" dxfId="4" priority="2" operator="containsText" text="Verified">
      <formula>NOT(ISERROR(SEARCH("Verified",G4)))</formula>
    </cfRule>
    <cfRule type="containsText" dxfId="3" priority="3" operator="containsText" text="Verified">
      <formula>NOT(ISERROR(SEARCH("Verified",G4)))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FF00"/>
  </sheetPr>
  <dimension ref="B1:G33"/>
  <sheetViews>
    <sheetView showGridLines="0" zoomScaleNormal="100" workbookViewId="0">
      <pane ySplit="1" topLeftCell="A14" activePane="bottomLeft" state="frozen"/>
      <selection activeCell="B10" sqref="B10"/>
      <selection pane="bottomLeft" activeCell="B5" sqref="B5:B10"/>
    </sheetView>
  </sheetViews>
  <sheetFormatPr defaultRowHeight="13.5"/>
  <cols>
    <col min="1" max="1" width="9.140625" style="54"/>
    <col min="2" max="2" width="40.5703125" style="54" bestFit="1" customWidth="1"/>
    <col min="3" max="3" width="14.7109375" style="54" bestFit="1" customWidth="1"/>
    <col min="4" max="4" width="10.5703125" style="54" bestFit="1" customWidth="1"/>
    <col min="5" max="5" width="6.5703125" style="54" bestFit="1" customWidth="1"/>
    <col min="6" max="6" width="40.140625" style="54" bestFit="1" customWidth="1"/>
    <col min="7" max="7" width="8.28515625" style="54" bestFit="1" customWidth="1"/>
    <col min="8" max="16384" width="9.140625" style="54"/>
  </cols>
  <sheetData>
    <row r="1" spans="2:7">
      <c r="B1" s="138" t="s">
        <v>201</v>
      </c>
    </row>
    <row r="2" spans="2:7">
      <c r="B2" s="111" t="s">
        <v>108</v>
      </c>
      <c r="C2" s="111" t="s">
        <v>110</v>
      </c>
      <c r="D2" s="111" t="s">
        <v>112</v>
      </c>
      <c r="E2" s="111" t="s">
        <v>167</v>
      </c>
      <c r="F2" s="111" t="s">
        <v>53</v>
      </c>
      <c r="G2" s="111" t="s">
        <v>171</v>
      </c>
    </row>
    <row r="3" spans="2:7">
      <c r="B3" s="203" t="s">
        <v>55</v>
      </c>
      <c r="C3" s="165">
        <v>10.4</v>
      </c>
      <c r="D3" s="165">
        <f>C3*110%</f>
        <v>11.440000000000001</v>
      </c>
      <c r="E3" s="113" t="s">
        <v>57</v>
      </c>
      <c r="F3" s="112" t="s">
        <v>163</v>
      </c>
      <c r="G3" s="113" t="s">
        <v>172</v>
      </c>
    </row>
    <row r="4" spans="2:7">
      <c r="B4" s="204"/>
      <c r="C4" s="165">
        <v>8.65</v>
      </c>
      <c r="D4" s="165">
        <f>C4*110%</f>
        <v>9.5150000000000006</v>
      </c>
      <c r="E4" s="113" t="s">
        <v>57</v>
      </c>
      <c r="F4" s="112" t="s">
        <v>162</v>
      </c>
      <c r="G4" s="113" t="s">
        <v>173</v>
      </c>
    </row>
    <row r="5" spans="2:7">
      <c r="B5" s="199" t="s">
        <v>151</v>
      </c>
      <c r="C5" s="167" t="s">
        <v>145</v>
      </c>
      <c r="D5" s="165">
        <v>1500</v>
      </c>
      <c r="E5" s="113" t="s">
        <v>8</v>
      </c>
      <c r="F5" s="112" t="s">
        <v>144</v>
      </c>
      <c r="G5" s="113" t="s">
        <v>172</v>
      </c>
    </row>
    <row r="6" spans="2:7">
      <c r="B6" s="199"/>
      <c r="C6" s="167">
        <v>0.27</v>
      </c>
      <c r="D6" s="165">
        <v>2500</v>
      </c>
      <c r="E6" s="113" t="s">
        <v>8</v>
      </c>
      <c r="F6" s="117" t="s">
        <v>146</v>
      </c>
      <c r="G6" s="113" t="s">
        <v>172</v>
      </c>
    </row>
    <row r="7" spans="2:7">
      <c r="B7" s="199"/>
      <c r="C7" s="167">
        <v>0.31</v>
      </c>
      <c r="D7" s="165">
        <v>0</v>
      </c>
      <c r="E7" s="113" t="s">
        <v>8</v>
      </c>
      <c r="F7" s="117" t="s">
        <v>168</v>
      </c>
      <c r="G7" s="113" t="s">
        <v>172</v>
      </c>
    </row>
    <row r="8" spans="2:7">
      <c r="B8" s="199"/>
      <c r="C8" s="167">
        <v>0.36</v>
      </c>
      <c r="D8" s="165">
        <v>0</v>
      </c>
      <c r="E8" s="113" t="s">
        <v>8</v>
      </c>
      <c r="F8" s="112" t="s">
        <v>169</v>
      </c>
      <c r="G8" s="113" t="s">
        <v>172</v>
      </c>
    </row>
    <row r="9" spans="2:7">
      <c r="B9" s="199"/>
      <c r="C9" s="167">
        <v>0.51</v>
      </c>
      <c r="D9" s="165">
        <v>0</v>
      </c>
      <c r="E9" s="113" t="s">
        <v>8</v>
      </c>
      <c r="F9" s="112" t="s">
        <v>170</v>
      </c>
      <c r="G9" s="113" t="s">
        <v>172</v>
      </c>
    </row>
    <row r="10" spans="2:7">
      <c r="B10" s="199"/>
      <c r="C10" s="167">
        <v>0.59</v>
      </c>
      <c r="D10" s="165">
        <v>0</v>
      </c>
      <c r="E10" s="113" t="s">
        <v>8</v>
      </c>
      <c r="F10" s="117" t="s">
        <v>150</v>
      </c>
      <c r="G10" s="113" t="s">
        <v>172</v>
      </c>
    </row>
    <row r="11" spans="2:7">
      <c r="B11" s="199" t="s">
        <v>152</v>
      </c>
      <c r="C11" s="167">
        <v>0</v>
      </c>
      <c r="D11" s="165">
        <v>0</v>
      </c>
      <c r="E11" s="113" t="s">
        <v>57</v>
      </c>
      <c r="F11" s="112" t="s">
        <v>154</v>
      </c>
      <c r="G11" s="113" t="s">
        <v>173</v>
      </c>
    </row>
    <row r="12" spans="2:7">
      <c r="B12" s="199"/>
      <c r="C12" s="167" t="s">
        <v>145</v>
      </c>
      <c r="D12" s="165">
        <v>30000</v>
      </c>
      <c r="E12" s="113" t="s">
        <v>57</v>
      </c>
      <c r="F12" s="112" t="s">
        <v>153</v>
      </c>
      <c r="G12" s="113" t="s">
        <v>173</v>
      </c>
    </row>
    <row r="13" spans="2:7">
      <c r="B13" s="199"/>
      <c r="C13" s="167">
        <v>7</v>
      </c>
      <c r="D13" s="165">
        <v>30000</v>
      </c>
      <c r="E13" s="113" t="s">
        <v>57</v>
      </c>
      <c r="F13" s="117" t="s">
        <v>146</v>
      </c>
      <c r="G13" s="113" t="s">
        <v>173</v>
      </c>
    </row>
    <row r="14" spans="2:7">
      <c r="B14" s="199"/>
      <c r="C14" s="167">
        <v>8</v>
      </c>
      <c r="D14" s="165">
        <v>0</v>
      </c>
      <c r="E14" s="113" t="s">
        <v>57</v>
      </c>
      <c r="F14" s="117" t="s">
        <v>147</v>
      </c>
      <c r="G14" s="113" t="s">
        <v>173</v>
      </c>
    </row>
    <row r="15" spans="2:7">
      <c r="B15" s="199"/>
      <c r="C15" s="167">
        <v>10</v>
      </c>
      <c r="D15" s="165">
        <v>0</v>
      </c>
      <c r="E15" s="113" t="s">
        <v>57</v>
      </c>
      <c r="F15" s="112" t="s">
        <v>148</v>
      </c>
      <c r="G15" s="113" t="s">
        <v>173</v>
      </c>
    </row>
    <row r="16" spans="2:7">
      <c r="B16" s="199"/>
      <c r="C16" s="167">
        <v>14</v>
      </c>
      <c r="D16" s="165">
        <v>0</v>
      </c>
      <c r="E16" s="113" t="s">
        <v>57</v>
      </c>
      <c r="F16" s="112" t="s">
        <v>149</v>
      </c>
      <c r="G16" s="113" t="s">
        <v>173</v>
      </c>
    </row>
    <row r="17" spans="2:7">
      <c r="B17" s="199"/>
      <c r="C17" s="167">
        <v>16</v>
      </c>
      <c r="D17" s="165">
        <v>0</v>
      </c>
      <c r="E17" s="113" t="s">
        <v>57</v>
      </c>
      <c r="F17" s="117" t="s">
        <v>150</v>
      </c>
      <c r="G17" s="113" t="s">
        <v>173</v>
      </c>
    </row>
    <row r="18" spans="2:7">
      <c r="B18" s="119" t="s">
        <v>155</v>
      </c>
      <c r="C18" s="166">
        <v>2.8999999999999998E-3</v>
      </c>
      <c r="D18" s="166">
        <v>300</v>
      </c>
      <c r="E18" s="113" t="s">
        <v>8</v>
      </c>
      <c r="F18" s="112" t="s">
        <v>156</v>
      </c>
      <c r="G18" s="113" t="s">
        <v>172</v>
      </c>
    </row>
    <row r="19" spans="2:7">
      <c r="B19" s="119" t="s">
        <v>157</v>
      </c>
      <c r="C19" s="166">
        <v>0.08</v>
      </c>
      <c r="D19" s="166">
        <v>10000</v>
      </c>
      <c r="E19" s="113" t="s">
        <v>57</v>
      </c>
      <c r="F19" s="112" t="s">
        <v>164</v>
      </c>
      <c r="G19" s="113" t="s">
        <v>173</v>
      </c>
    </row>
    <row r="20" spans="2:7">
      <c r="B20" s="201" t="s">
        <v>9</v>
      </c>
      <c r="C20" s="166">
        <v>0.9</v>
      </c>
      <c r="D20" s="166">
        <v>864</v>
      </c>
      <c r="E20" s="113" t="s">
        <v>57</v>
      </c>
      <c r="F20" s="117" t="s">
        <v>165</v>
      </c>
      <c r="G20" s="113" t="s">
        <v>172</v>
      </c>
    </row>
    <row r="21" spans="2:7">
      <c r="B21" s="202"/>
      <c r="C21" s="166">
        <v>0.9</v>
      </c>
      <c r="D21" s="166">
        <v>3456</v>
      </c>
      <c r="E21" s="113" t="s">
        <v>57</v>
      </c>
      <c r="F21" s="117" t="s">
        <v>166</v>
      </c>
      <c r="G21" s="113" t="s">
        <v>172</v>
      </c>
    </row>
    <row r="22" spans="2:7" ht="27">
      <c r="B22" s="118" t="s">
        <v>15</v>
      </c>
      <c r="C22" s="166">
        <v>1600</v>
      </c>
      <c r="D22" s="166">
        <v>400</v>
      </c>
      <c r="E22" s="113" t="s">
        <v>8</v>
      </c>
      <c r="F22" s="117" t="s">
        <v>158</v>
      </c>
      <c r="G22" s="113" t="s">
        <v>172</v>
      </c>
    </row>
    <row r="23" spans="2:7">
      <c r="B23" s="118" t="s">
        <v>31</v>
      </c>
      <c r="C23" s="166">
        <v>800</v>
      </c>
      <c r="D23" s="166">
        <v>0</v>
      </c>
      <c r="E23" s="113" t="s">
        <v>8</v>
      </c>
      <c r="F23" s="117" t="s">
        <v>140</v>
      </c>
      <c r="G23" s="113" t="s">
        <v>172</v>
      </c>
    </row>
    <row r="24" spans="2:7">
      <c r="B24" s="114" t="s">
        <v>38</v>
      </c>
      <c r="C24" s="166">
        <v>50</v>
      </c>
      <c r="D24" s="166">
        <v>0</v>
      </c>
      <c r="E24" s="113" t="s">
        <v>8</v>
      </c>
      <c r="F24" s="112" t="s">
        <v>159</v>
      </c>
      <c r="G24" s="113" t="s">
        <v>172</v>
      </c>
    </row>
    <row r="25" spans="2:7">
      <c r="B25" s="114" t="s">
        <v>102</v>
      </c>
      <c r="C25" s="166">
        <v>5</v>
      </c>
      <c r="D25" s="166">
        <v>0</v>
      </c>
      <c r="E25" s="113" t="s">
        <v>8</v>
      </c>
      <c r="F25" s="112" t="s">
        <v>43</v>
      </c>
      <c r="G25" s="113" t="s">
        <v>172</v>
      </c>
    </row>
    <row r="26" spans="2:7">
      <c r="B26" s="114" t="s">
        <v>103</v>
      </c>
      <c r="C26" s="166" t="s">
        <v>106</v>
      </c>
      <c r="D26" s="166">
        <v>0</v>
      </c>
      <c r="E26" s="113" t="s">
        <v>88</v>
      </c>
      <c r="F26" s="117"/>
      <c r="G26" s="113" t="s">
        <v>172</v>
      </c>
    </row>
    <row r="27" spans="2:7">
      <c r="B27" s="114" t="s">
        <v>104</v>
      </c>
      <c r="C27" s="166" t="s">
        <v>106</v>
      </c>
      <c r="D27" s="166">
        <v>0</v>
      </c>
      <c r="E27" s="113" t="s">
        <v>88</v>
      </c>
      <c r="F27" s="112"/>
      <c r="G27" s="113" t="s">
        <v>172</v>
      </c>
    </row>
    <row r="28" spans="2:7">
      <c r="B28" s="114" t="s">
        <v>105</v>
      </c>
      <c r="C28" s="166">
        <v>25000</v>
      </c>
      <c r="D28" s="166">
        <v>0</v>
      </c>
      <c r="E28" s="113" t="s">
        <v>57</v>
      </c>
      <c r="F28" s="182" t="s">
        <v>160</v>
      </c>
      <c r="G28" s="113" t="s">
        <v>172</v>
      </c>
    </row>
    <row r="29" spans="2:7">
      <c r="B29" s="114" t="s">
        <v>34</v>
      </c>
      <c r="C29" s="166">
        <v>150</v>
      </c>
      <c r="D29" s="166">
        <v>0</v>
      </c>
      <c r="E29" s="113" t="s">
        <v>8</v>
      </c>
      <c r="F29" s="112" t="s">
        <v>161</v>
      </c>
      <c r="G29" s="113" t="s">
        <v>172</v>
      </c>
    </row>
    <row r="30" spans="2:7">
      <c r="B30" s="114" t="s">
        <v>48</v>
      </c>
      <c r="C30" s="166">
        <v>20</v>
      </c>
      <c r="D30" s="166">
        <v>0</v>
      </c>
      <c r="E30" s="113" t="s">
        <v>8</v>
      </c>
      <c r="F30" s="112" t="s">
        <v>127</v>
      </c>
      <c r="G30" s="113" t="s">
        <v>172</v>
      </c>
    </row>
    <row r="31" spans="2:7">
      <c r="B31" s="114" t="s">
        <v>49</v>
      </c>
      <c r="C31" s="166">
        <v>150</v>
      </c>
      <c r="D31" s="166">
        <v>0</v>
      </c>
      <c r="E31" s="113" t="s">
        <v>8</v>
      </c>
      <c r="F31" s="112" t="s">
        <v>127</v>
      </c>
      <c r="G31" s="113" t="s">
        <v>172</v>
      </c>
    </row>
    <row r="32" spans="2:7">
      <c r="B32" s="114" t="s">
        <v>50</v>
      </c>
      <c r="C32" s="166">
        <v>0</v>
      </c>
      <c r="D32" s="166">
        <v>0</v>
      </c>
      <c r="E32" s="113"/>
      <c r="F32" s="112"/>
      <c r="G32" s="113" t="s">
        <v>173</v>
      </c>
    </row>
    <row r="33" spans="2:2">
      <c r="B33" s="86"/>
    </row>
  </sheetData>
  <mergeCells count="4">
    <mergeCell ref="B5:B10"/>
    <mergeCell ref="B3:B4"/>
    <mergeCell ref="B20:B21"/>
    <mergeCell ref="B11:B17"/>
  </mergeCells>
  <conditionalFormatting sqref="G3:G32">
    <cfRule type="containsText" dxfId="2" priority="1" operator="containsText" text="Verified">
      <formula>NOT(ISERROR(SEARCH("Verified",G3)))</formula>
    </cfRule>
    <cfRule type="containsText" dxfId="1" priority="2" operator="containsText" text="Verified">
      <formula>NOT(ISERROR(SEARCH("Verified",G3)))</formula>
    </cfRule>
    <cfRule type="containsText" dxfId="0" priority="3" operator="containsText" text="Verified">
      <formula>NOT(ISERROR(SEARCH("Verified",G3)))</formula>
    </cfRule>
  </conditionalFormatting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5"/>
  <sheetViews>
    <sheetView workbookViewId="0">
      <selection activeCell="A3" sqref="A3"/>
    </sheetView>
  </sheetViews>
  <sheetFormatPr defaultRowHeight="13.5"/>
  <cols>
    <col min="1" max="2" width="9.140625" style="54"/>
    <col min="3" max="3" width="12.5703125" style="54" bestFit="1" customWidth="1"/>
    <col min="4" max="4" width="77.85546875" style="54" customWidth="1"/>
    <col min="5" max="16384" width="9.140625" style="54"/>
  </cols>
  <sheetData>
    <row r="2" spans="2:4" ht="27">
      <c r="B2" s="111" t="s">
        <v>205</v>
      </c>
      <c r="C2" s="181" t="s">
        <v>211</v>
      </c>
      <c r="D2" s="111" t="s">
        <v>206</v>
      </c>
    </row>
    <row r="3" spans="2:4">
      <c r="B3" s="113" t="s">
        <v>207</v>
      </c>
      <c r="C3" s="180">
        <v>42852</v>
      </c>
      <c r="D3" s="117" t="s">
        <v>208</v>
      </c>
    </row>
    <row r="4" spans="2:4" ht="27">
      <c r="B4" s="113" t="s">
        <v>209</v>
      </c>
      <c r="C4" s="180">
        <v>42870</v>
      </c>
      <c r="D4" s="117" t="s">
        <v>210</v>
      </c>
    </row>
    <row r="5" spans="2:4">
      <c r="B5" s="113"/>
      <c r="C5" s="113"/>
      <c r="D5" s="117"/>
    </row>
    <row r="6" spans="2:4">
      <c r="B6" s="113"/>
      <c r="C6" s="113"/>
      <c r="D6" s="117"/>
    </row>
    <row r="7" spans="2:4">
      <c r="B7" s="113"/>
      <c r="C7" s="113"/>
      <c r="D7" s="117"/>
    </row>
    <row r="8" spans="2:4">
      <c r="B8" s="113"/>
      <c r="C8" s="113"/>
      <c r="D8" s="117"/>
    </row>
    <row r="9" spans="2:4">
      <c r="B9" s="113"/>
      <c r="C9" s="113"/>
      <c r="D9" s="117"/>
    </row>
    <row r="10" spans="2:4">
      <c r="B10" s="113"/>
      <c r="C10" s="113"/>
      <c r="D10" s="117"/>
    </row>
    <row r="11" spans="2:4">
      <c r="B11" s="113"/>
      <c r="C11" s="113"/>
      <c r="D11" s="117"/>
    </row>
    <row r="12" spans="2:4">
      <c r="B12" s="113"/>
      <c r="C12" s="113"/>
      <c r="D12" s="117"/>
    </row>
    <row r="13" spans="2:4">
      <c r="B13" s="113"/>
      <c r="C13" s="113"/>
      <c r="D13" s="117"/>
    </row>
    <row r="14" spans="2:4">
      <c r="B14" s="113"/>
      <c r="C14" s="113"/>
      <c r="D14" s="117"/>
    </row>
    <row r="15" spans="2:4">
      <c r="B15" s="113"/>
      <c r="C15" s="113"/>
      <c r="D15" s="117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Extra Formula</vt:lpstr>
      <vt:lpstr>Tariff Calc</vt:lpstr>
      <vt:lpstr>Addnl Services</vt:lpstr>
      <vt:lpstr>Mundra</vt:lpstr>
      <vt:lpstr>Hazira</vt:lpstr>
      <vt:lpstr>Dhamra</vt:lpstr>
      <vt:lpstr>Dahej</vt:lpstr>
      <vt:lpstr>Katupalli</vt:lpstr>
      <vt:lpstr>Notes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20186005</dc:creator>
  <cp:lastModifiedBy>Sanjeev Tandon</cp:lastModifiedBy>
  <dcterms:created xsi:type="dcterms:W3CDTF">2012-12-11T09:55:44Z</dcterms:created>
  <dcterms:modified xsi:type="dcterms:W3CDTF">2017-07-12T09:35:24Z</dcterms:modified>
</cp:coreProperties>
</file>