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tables/table3.xml" ContentType="application/vnd.openxmlformats-officedocument.spreadsheetml.table+xml"/>
  <Override PartName="/xl/pivotTables/pivotTable7.xml" ContentType="application/vnd.openxmlformats-officedocument.spreadsheetml.pivotTable+xml"/>
  <Override PartName="/xl/tables/table4.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mc:AlternateContent xmlns:mc="http://schemas.openxmlformats.org/markup-compatibility/2006">
    <mc:Choice Requires="x15">
      <x15ac:absPath xmlns:x15ac="http://schemas.microsoft.com/office/spreadsheetml/2010/11/ac" url="D:\ADANIBKP\4_Shared Services\91_IT Development\new VRC Calc\"/>
    </mc:Choice>
  </mc:AlternateContent>
  <xr:revisionPtr revIDLastSave="0" documentId="13_ncr:1_{DE386CEC-4F7E-4DBC-81D6-A41152E5490E}" xr6:coauthVersionLast="46" xr6:coauthVersionMax="46" xr10:uidLastSave="{00000000-0000-0000-0000-000000000000}"/>
  <workbookProtection workbookAlgorithmName="SHA-512" workbookHashValue="rwjYdcjMZC0dAg1uz5WSmZZakYGqLo0UqzmqRWeD7seALoREUhvz/fxN6Ukyk7hda9B2C5LnBMrPUHAojCfehw==" workbookSaltValue="NlibO53A5qi7uL/9Kz0Kig==" workbookSpinCount="100000" lockStructure="1"/>
  <bookViews>
    <workbookView showHorizontalScroll="0" showVerticalScroll="0" showSheetTabs="0" xWindow="-108" yWindow="-108" windowWidth="23256" windowHeight="12576" firstSheet="12" activeTab="12" xr2:uid="{00000000-000D-0000-FFFF-FFFF00000000}"/>
  </bookViews>
  <sheets>
    <sheet name="TERMINALS" sheetId="21" state="hidden" r:id="rId1"/>
    <sheet name="Dahej" sheetId="8" state="hidden" r:id="rId2"/>
    <sheet name="Mundra" sheetId="6" state="hidden" r:id="rId3"/>
    <sheet name="Dhamra" sheetId="12" state="hidden" r:id="rId4"/>
    <sheet name="Kattupalli" sheetId="14" state="hidden" r:id="rId5"/>
    <sheet name="Hazira" sheetId="7" state="hidden" r:id="rId6"/>
    <sheet name="KPCL" sheetId="15" state="hidden" r:id="rId7"/>
    <sheet name="Dighi" sheetId="16" state="hidden" r:id="rId8"/>
    <sheet name="GPL" sheetId="17" state="hidden" r:id="rId9"/>
    <sheet name="ControlPanel" sheetId="20" state="hidden" r:id="rId10"/>
    <sheet name="Tariff Master" sheetId="5" state="hidden" r:id="rId11"/>
    <sheet name="AllPorts" sheetId="19" state="hidden" r:id="rId12"/>
    <sheet name="newCalc" sheetId="10" r:id="rId13"/>
  </sheets>
  <definedNames>
    <definedName name="BuiltIn_Print_Area">"$"</definedName>
    <definedName name="BuiltIn_Print_Area___0">"$"</definedName>
    <definedName name="Slicer_CURR">#N/A</definedName>
    <definedName name="Slicer_Port">#N/A</definedName>
    <definedName name="Slicer_TARIFF">#N/A</definedName>
    <definedName name="Slicer_TYPE">#N/A</definedName>
    <definedName name="Slicer_VESSEL_RUN">#N/A</definedName>
    <definedName name="Slicer_VESSEL_TYPE">#N/A</definedName>
  </definedNames>
  <calcPr calcId="191029"/>
  <pivotCaches>
    <pivotCache cacheId="3" r:id="rId14"/>
    <pivotCache cacheId="4" r:id="rId15"/>
    <pivotCache cacheId="5" r:id="rId16"/>
  </pivotCaches>
  <extLst>
    <ext xmlns:x14="http://schemas.microsoft.com/office/spreadsheetml/2009/9/main" uri="{BBE1A952-AA13-448e-AADC-164F8A28A991}">
      <x14:slicerCaches>
        <x14:slicerCache r:id="rId17"/>
        <x14:slicerCache r:id="rId18"/>
        <x14:slicerCache r:id="rId19"/>
        <x14:slicerCache r:id="rId20"/>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5" l="1"/>
  <c r="I100" i="5"/>
  <c r="I95" i="5"/>
  <c r="I77" i="5"/>
  <c r="I72" i="5"/>
  <c r="I67" i="5"/>
  <c r="I62" i="5"/>
  <c r="I52" i="5"/>
  <c r="I19" i="5"/>
  <c r="I14" i="5"/>
  <c r="N108" i="19"/>
  <c r="M108" i="19"/>
  <c r="L108" i="19"/>
  <c r="K108" i="19"/>
  <c r="N107" i="19"/>
  <c r="M107" i="19"/>
  <c r="L107" i="19"/>
  <c r="K107" i="19"/>
  <c r="N106" i="19"/>
  <c r="M106" i="19"/>
  <c r="L106" i="19"/>
  <c r="K106" i="19"/>
  <c r="N105" i="19"/>
  <c r="S105" i="19" s="1"/>
  <c r="M105" i="19"/>
  <c r="L105" i="19"/>
  <c r="K105" i="19"/>
  <c r="N104" i="19"/>
  <c r="T104" i="19" s="1"/>
  <c r="M104" i="19"/>
  <c r="L104" i="19"/>
  <c r="K104" i="19"/>
  <c r="N103" i="19"/>
  <c r="T103" i="19" s="1"/>
  <c r="M103" i="19"/>
  <c r="L103" i="19"/>
  <c r="K103" i="19"/>
  <c r="N102" i="19"/>
  <c r="T102" i="19" s="1"/>
  <c r="M102" i="19"/>
  <c r="L102" i="19"/>
  <c r="K102" i="19"/>
  <c r="N101" i="19"/>
  <c r="M101" i="19"/>
  <c r="L101" i="19"/>
  <c r="K101" i="19"/>
  <c r="N100" i="19"/>
  <c r="T100" i="19" s="1"/>
  <c r="M100" i="19"/>
  <c r="L100" i="19"/>
  <c r="K100" i="19"/>
  <c r="N99" i="19"/>
  <c r="T99" i="19" s="1"/>
  <c r="M99" i="19"/>
  <c r="L99" i="19"/>
  <c r="K99" i="19"/>
  <c r="N98" i="19"/>
  <c r="T98" i="19" s="1"/>
  <c r="M98" i="19"/>
  <c r="L98" i="19"/>
  <c r="K98" i="19"/>
  <c r="N97" i="19"/>
  <c r="T97" i="19" s="1"/>
  <c r="M97" i="19"/>
  <c r="L97" i="19"/>
  <c r="K97" i="19"/>
  <c r="N96" i="19"/>
  <c r="M96" i="19"/>
  <c r="L96" i="19"/>
  <c r="K96" i="19"/>
  <c r="N95" i="19"/>
  <c r="T95" i="19" s="1"/>
  <c r="M95" i="19"/>
  <c r="L95" i="19"/>
  <c r="K95" i="19"/>
  <c r="N94" i="19"/>
  <c r="T94" i="19" s="1"/>
  <c r="M94" i="19"/>
  <c r="L94" i="19"/>
  <c r="K94" i="19"/>
  <c r="N93" i="19"/>
  <c r="T93" i="19" s="1"/>
  <c r="M93" i="19"/>
  <c r="L93" i="19"/>
  <c r="K93" i="19"/>
  <c r="N92" i="19"/>
  <c r="T92" i="19" s="1"/>
  <c r="M92" i="19"/>
  <c r="L92" i="19"/>
  <c r="K92" i="19"/>
  <c r="N91" i="19"/>
  <c r="M91" i="19"/>
  <c r="L91" i="19"/>
  <c r="K91" i="19"/>
  <c r="N90" i="19"/>
  <c r="T90" i="19" s="1"/>
  <c r="M90" i="19"/>
  <c r="L90" i="19"/>
  <c r="K90" i="19"/>
  <c r="N89" i="19"/>
  <c r="T89" i="19" s="1"/>
  <c r="M89" i="19"/>
  <c r="L89" i="19"/>
  <c r="K89" i="19"/>
  <c r="N88" i="19"/>
  <c r="T88" i="19" s="1"/>
  <c r="M88" i="19"/>
  <c r="L88" i="19"/>
  <c r="K88" i="19"/>
  <c r="N87" i="19"/>
  <c r="T87" i="19" s="1"/>
  <c r="M87" i="19"/>
  <c r="L87" i="19"/>
  <c r="K87" i="19"/>
  <c r="N86" i="19"/>
  <c r="M86" i="19"/>
  <c r="L86" i="19"/>
  <c r="K86" i="19"/>
  <c r="N85" i="19"/>
  <c r="S85" i="19" s="1"/>
  <c r="M85" i="19"/>
  <c r="L85" i="19"/>
  <c r="K85" i="19"/>
  <c r="N84" i="19"/>
  <c r="T84" i="19" s="1"/>
  <c r="M84" i="19"/>
  <c r="L84" i="19"/>
  <c r="K84" i="19"/>
  <c r="N83" i="19"/>
  <c r="T83" i="19" s="1"/>
  <c r="M83" i="19"/>
  <c r="L83" i="19"/>
  <c r="K83" i="19"/>
  <c r="N82" i="19"/>
  <c r="T82" i="19" s="1"/>
  <c r="M82" i="19"/>
  <c r="L82" i="19"/>
  <c r="K82" i="19"/>
  <c r="N81" i="19"/>
  <c r="M81" i="19"/>
  <c r="L81" i="19"/>
  <c r="K81" i="19"/>
  <c r="N80" i="19"/>
  <c r="T80" i="19" s="1"/>
  <c r="M80" i="19"/>
  <c r="L80" i="19"/>
  <c r="K80" i="19"/>
  <c r="N79" i="19"/>
  <c r="T79" i="19" s="1"/>
  <c r="M79" i="19"/>
  <c r="L79" i="19"/>
  <c r="K79" i="19"/>
  <c r="N78" i="19"/>
  <c r="T78" i="19" s="1"/>
  <c r="M78" i="19"/>
  <c r="L78" i="19"/>
  <c r="K78" i="19"/>
  <c r="N77" i="19"/>
  <c r="T77" i="19" s="1"/>
  <c r="M77" i="19"/>
  <c r="L77" i="19"/>
  <c r="K77" i="19"/>
  <c r="N76" i="19"/>
  <c r="M76" i="19"/>
  <c r="L76" i="19"/>
  <c r="K76" i="19"/>
  <c r="N75" i="19"/>
  <c r="T75" i="19" s="1"/>
  <c r="M75" i="19"/>
  <c r="L75" i="19"/>
  <c r="K75" i="19"/>
  <c r="N74" i="19"/>
  <c r="T74" i="19" s="1"/>
  <c r="M74" i="19"/>
  <c r="L74" i="19"/>
  <c r="K74" i="19"/>
  <c r="N73" i="19"/>
  <c r="T73" i="19" s="1"/>
  <c r="M73" i="19"/>
  <c r="L73" i="19"/>
  <c r="K73" i="19"/>
  <c r="N72" i="19"/>
  <c r="T72" i="19" s="1"/>
  <c r="M72" i="19"/>
  <c r="L72" i="19"/>
  <c r="K72" i="19"/>
  <c r="N71" i="19"/>
  <c r="M71" i="19"/>
  <c r="L71" i="19"/>
  <c r="K71" i="19"/>
  <c r="N70" i="19"/>
  <c r="T70" i="19" s="1"/>
  <c r="M70" i="19"/>
  <c r="L70" i="19"/>
  <c r="K70" i="19"/>
  <c r="N69" i="19"/>
  <c r="T69" i="19" s="1"/>
  <c r="M69" i="19"/>
  <c r="L69" i="19"/>
  <c r="K69" i="19"/>
  <c r="N68" i="19"/>
  <c r="T68" i="19" s="1"/>
  <c r="M68" i="19"/>
  <c r="L68" i="19"/>
  <c r="K68" i="19"/>
  <c r="N67" i="19"/>
  <c r="M67" i="19"/>
  <c r="L67" i="19"/>
  <c r="K67" i="19"/>
  <c r="N66" i="19"/>
  <c r="S66" i="19" s="1"/>
  <c r="M66" i="19"/>
  <c r="L66" i="19"/>
  <c r="K66" i="19"/>
  <c r="N65" i="19"/>
  <c r="T65" i="19" s="1"/>
  <c r="M65" i="19"/>
  <c r="L65" i="19"/>
  <c r="K65" i="19"/>
  <c r="N64" i="19"/>
  <c r="T64" i="19" s="1"/>
  <c r="M64" i="19"/>
  <c r="L64" i="19"/>
  <c r="K64" i="19"/>
  <c r="N63" i="19"/>
  <c r="M63" i="19"/>
  <c r="L63" i="19"/>
  <c r="K63" i="19"/>
  <c r="N62" i="19"/>
  <c r="T62" i="19" s="1"/>
  <c r="M62" i="19"/>
  <c r="L62" i="19"/>
  <c r="K62" i="19"/>
  <c r="N61" i="19"/>
  <c r="T61" i="19" s="1"/>
  <c r="M61" i="19"/>
  <c r="L61" i="19"/>
  <c r="K61" i="19"/>
  <c r="N60" i="19"/>
  <c r="T60" i="19" s="1"/>
  <c r="M60" i="19"/>
  <c r="L60" i="19"/>
  <c r="K60" i="19"/>
  <c r="N59" i="19"/>
  <c r="M59" i="19"/>
  <c r="L59" i="19"/>
  <c r="K59" i="19"/>
  <c r="N58" i="19"/>
  <c r="T58" i="19" s="1"/>
  <c r="M58" i="19"/>
  <c r="L58" i="19"/>
  <c r="K58" i="19"/>
  <c r="N57" i="19"/>
  <c r="T57" i="19" s="1"/>
  <c r="M57" i="19"/>
  <c r="L57" i="19"/>
  <c r="K57" i="19"/>
  <c r="N56" i="19"/>
  <c r="T56" i="19" s="1"/>
  <c r="M56" i="19"/>
  <c r="L56" i="19"/>
  <c r="K56" i="19"/>
  <c r="N55" i="19"/>
  <c r="M55" i="19"/>
  <c r="L55" i="19"/>
  <c r="K55" i="19"/>
  <c r="N54" i="19"/>
  <c r="T54" i="19" s="1"/>
  <c r="M54" i="19"/>
  <c r="L54" i="19"/>
  <c r="K54" i="19"/>
  <c r="N53" i="19"/>
  <c r="T53" i="19" s="1"/>
  <c r="M53" i="19"/>
  <c r="L53" i="19"/>
  <c r="K53" i="19"/>
  <c r="N52" i="19"/>
  <c r="T52" i="19" s="1"/>
  <c r="M52" i="19"/>
  <c r="L52" i="19"/>
  <c r="K52" i="19"/>
  <c r="N51" i="19"/>
  <c r="T51" i="19" s="1"/>
  <c r="M51" i="19"/>
  <c r="L51" i="19"/>
  <c r="K51" i="19"/>
  <c r="N50" i="19"/>
  <c r="M50" i="19"/>
  <c r="L50" i="19"/>
  <c r="K50" i="19"/>
  <c r="N49" i="19"/>
  <c r="S49" i="19" s="1"/>
  <c r="M49" i="19"/>
  <c r="L49" i="19"/>
  <c r="K49" i="19"/>
  <c r="N48" i="19"/>
  <c r="T48" i="19" s="1"/>
  <c r="M48" i="19"/>
  <c r="L48" i="19"/>
  <c r="K48" i="19"/>
  <c r="N47" i="19"/>
  <c r="T47" i="19" s="1"/>
  <c r="M47" i="19"/>
  <c r="L47" i="19"/>
  <c r="K47" i="19"/>
  <c r="N46" i="19"/>
  <c r="T46" i="19" s="1"/>
  <c r="M46" i="19"/>
  <c r="L46" i="19"/>
  <c r="K46" i="19"/>
  <c r="N45" i="19"/>
  <c r="M45" i="19"/>
  <c r="L45" i="19"/>
  <c r="K45" i="19"/>
  <c r="N44" i="19"/>
  <c r="T44" i="19" s="1"/>
  <c r="M44" i="19"/>
  <c r="L44" i="19"/>
  <c r="K44" i="19"/>
  <c r="N43" i="19"/>
  <c r="T43" i="19" s="1"/>
  <c r="M43" i="19"/>
  <c r="L43" i="19"/>
  <c r="K43" i="19"/>
  <c r="N42" i="19"/>
  <c r="T42" i="19" s="1"/>
  <c r="M42" i="19"/>
  <c r="L42" i="19"/>
  <c r="K42" i="19"/>
  <c r="N41" i="19"/>
  <c r="T41" i="19" s="1"/>
  <c r="M41" i="19"/>
  <c r="L41" i="19"/>
  <c r="K41" i="19"/>
  <c r="N40" i="19"/>
  <c r="T40" i="19" s="1"/>
  <c r="M40" i="19"/>
  <c r="L40" i="19"/>
  <c r="K40" i="19"/>
  <c r="N39" i="19"/>
  <c r="T39" i="19" s="1"/>
  <c r="M39" i="19"/>
  <c r="L39" i="19"/>
  <c r="K39" i="19"/>
  <c r="N38" i="19"/>
  <c r="M38" i="19"/>
  <c r="L38" i="19"/>
  <c r="K38" i="19"/>
  <c r="N37" i="19"/>
  <c r="T37" i="19" s="1"/>
  <c r="M37" i="19"/>
  <c r="L37" i="19"/>
  <c r="K37" i="19"/>
  <c r="N36" i="19"/>
  <c r="T36" i="19" s="1"/>
  <c r="M36" i="19"/>
  <c r="L36" i="19"/>
  <c r="K36" i="19"/>
  <c r="N35" i="19"/>
  <c r="T35" i="19" s="1"/>
  <c r="M35" i="19"/>
  <c r="L35" i="19"/>
  <c r="K35" i="19"/>
  <c r="N34" i="19"/>
  <c r="M34" i="19"/>
  <c r="L34" i="19"/>
  <c r="K34" i="19"/>
  <c r="N33" i="19"/>
  <c r="M33" i="19"/>
  <c r="L33" i="19"/>
  <c r="K33" i="19"/>
  <c r="N32" i="19"/>
  <c r="S32" i="19" s="1"/>
  <c r="M32" i="19"/>
  <c r="L32" i="19"/>
  <c r="K32" i="19"/>
  <c r="N31" i="19"/>
  <c r="T31" i="19" s="1"/>
  <c r="M31" i="19"/>
  <c r="L31" i="19"/>
  <c r="K31" i="19"/>
  <c r="N30" i="19"/>
  <c r="T30" i="19" s="1"/>
  <c r="M30" i="19"/>
  <c r="L30" i="19"/>
  <c r="K30" i="19"/>
  <c r="N29" i="19"/>
  <c r="T29" i="19" s="1"/>
  <c r="M29" i="19"/>
  <c r="L29" i="19"/>
  <c r="K29" i="19"/>
  <c r="N28" i="19"/>
  <c r="M28" i="19"/>
  <c r="L28" i="19"/>
  <c r="K28" i="19"/>
  <c r="N27" i="19"/>
  <c r="S27" i="19" s="1"/>
  <c r="M27" i="19"/>
  <c r="L27" i="19"/>
  <c r="K27" i="19"/>
  <c r="N26" i="19"/>
  <c r="T26" i="19" s="1"/>
  <c r="M26" i="19"/>
  <c r="L26" i="19"/>
  <c r="K26" i="19"/>
  <c r="N25" i="19"/>
  <c r="T25" i="19" s="1"/>
  <c r="M25" i="19"/>
  <c r="L25" i="19"/>
  <c r="K25" i="19"/>
  <c r="N24" i="19"/>
  <c r="T24" i="19" s="1"/>
  <c r="M24" i="19"/>
  <c r="L24" i="19"/>
  <c r="K24" i="19"/>
  <c r="N23" i="19"/>
  <c r="M23" i="19"/>
  <c r="L23" i="19"/>
  <c r="K23" i="19"/>
  <c r="N22" i="19"/>
  <c r="T22" i="19" s="1"/>
  <c r="M22" i="19"/>
  <c r="L22" i="19"/>
  <c r="K22" i="19"/>
  <c r="N21" i="19"/>
  <c r="T21" i="19" s="1"/>
  <c r="M21" i="19"/>
  <c r="L21" i="19"/>
  <c r="K21" i="19"/>
  <c r="N20" i="19"/>
  <c r="T20" i="19" s="1"/>
  <c r="M20" i="19"/>
  <c r="L20" i="19"/>
  <c r="K20" i="19"/>
  <c r="N19" i="19"/>
  <c r="T19" i="19" s="1"/>
  <c r="M19" i="19"/>
  <c r="L19" i="19"/>
  <c r="K19" i="19"/>
  <c r="N18" i="19"/>
  <c r="M18" i="19"/>
  <c r="L18" i="19"/>
  <c r="K18" i="19"/>
  <c r="N17" i="19"/>
  <c r="T17" i="19" s="1"/>
  <c r="M17" i="19"/>
  <c r="L17" i="19"/>
  <c r="K17" i="19"/>
  <c r="N16" i="19"/>
  <c r="T16" i="19" s="1"/>
  <c r="M16" i="19"/>
  <c r="L16" i="19"/>
  <c r="K16" i="19"/>
  <c r="N15" i="19"/>
  <c r="T15" i="19" s="1"/>
  <c r="M15" i="19"/>
  <c r="L15" i="19"/>
  <c r="K15" i="19"/>
  <c r="N14" i="19"/>
  <c r="T14" i="19" s="1"/>
  <c r="M14" i="19"/>
  <c r="L14" i="19"/>
  <c r="K14" i="19"/>
  <c r="N13" i="19"/>
  <c r="N2" i="19" s="1"/>
  <c r="M13" i="19"/>
  <c r="L13" i="19"/>
  <c r="K13" i="19"/>
  <c r="G6" i="10"/>
  <c r="G93" i="10" s="1"/>
  <c r="I99" i="5"/>
  <c r="I98" i="5"/>
  <c r="I96" i="5"/>
  <c r="I94" i="5"/>
  <c r="I93" i="5"/>
  <c r="I91" i="5"/>
  <c r="H99" i="5"/>
  <c r="H98" i="5"/>
  <c r="H96" i="5"/>
  <c r="H94" i="5"/>
  <c r="H93" i="5"/>
  <c r="H91" i="5"/>
  <c r="G100" i="5"/>
  <c r="G99" i="5"/>
  <c r="G98" i="5"/>
  <c r="G97" i="5"/>
  <c r="G96" i="5"/>
  <c r="G95" i="5"/>
  <c r="G94" i="5"/>
  <c r="G93" i="5"/>
  <c r="G92" i="5"/>
  <c r="G91" i="5"/>
  <c r="J90" i="5"/>
  <c r="J89" i="5"/>
  <c r="J88" i="5"/>
  <c r="I90" i="5"/>
  <c r="H90" i="5"/>
  <c r="I89" i="5"/>
  <c r="H89" i="5"/>
  <c r="I88" i="5"/>
  <c r="H88" i="5"/>
  <c r="P90" i="10"/>
  <c r="D7" i="20"/>
  <c r="E7" i="20" s="1"/>
  <c r="E4" i="20"/>
  <c r="H94" i="10" s="1"/>
  <c r="E5" i="20"/>
  <c r="U3" i="19" s="1"/>
  <c r="U108" i="19" s="1"/>
  <c r="U48" i="19" l="1"/>
  <c r="U37" i="19"/>
  <c r="U27" i="19"/>
  <c r="U21" i="19"/>
  <c r="U55" i="19"/>
  <c r="U66" i="19"/>
  <c r="U77" i="19"/>
  <c r="U93" i="19"/>
  <c r="U103" i="19"/>
  <c r="U52" i="19"/>
  <c r="U47" i="19"/>
  <c r="U41" i="19"/>
  <c r="U36" i="19"/>
  <c r="U31" i="19"/>
  <c r="U25" i="19"/>
  <c r="U20" i="19"/>
  <c r="U15" i="19"/>
  <c r="U57" i="19"/>
  <c r="U62" i="19"/>
  <c r="U67" i="19"/>
  <c r="U73" i="19"/>
  <c r="U78" i="19"/>
  <c r="U83" i="19"/>
  <c r="U89" i="19"/>
  <c r="U94" i="19"/>
  <c r="U99" i="19"/>
  <c r="U105" i="19"/>
  <c r="U13" i="19"/>
  <c r="U43" i="19"/>
  <c r="U32" i="19"/>
  <c r="U16" i="19"/>
  <c r="U61" i="19"/>
  <c r="U71" i="19"/>
  <c r="U82" i="19"/>
  <c r="U87" i="19"/>
  <c r="U98" i="19"/>
  <c r="U51" i="19"/>
  <c r="U45" i="19"/>
  <c r="U40" i="19"/>
  <c r="U35" i="19"/>
  <c r="U29" i="19"/>
  <c r="U24" i="19"/>
  <c r="U19" i="19"/>
  <c r="U53" i="19"/>
  <c r="U58" i="19"/>
  <c r="U63" i="19"/>
  <c r="U69" i="19"/>
  <c r="U74" i="19"/>
  <c r="U79" i="19"/>
  <c r="U85" i="19"/>
  <c r="U90" i="19"/>
  <c r="U95" i="19"/>
  <c r="U101" i="19"/>
  <c r="U106" i="19"/>
  <c r="U49" i="19"/>
  <c r="U44" i="19"/>
  <c r="U39" i="19"/>
  <c r="U33" i="19"/>
  <c r="U28" i="19"/>
  <c r="U23" i="19"/>
  <c r="U17" i="19"/>
  <c r="U54" i="19"/>
  <c r="U59" i="19"/>
  <c r="U65" i="19"/>
  <c r="U70" i="19"/>
  <c r="U75" i="19"/>
  <c r="U81" i="19"/>
  <c r="U86" i="19"/>
  <c r="U91" i="19"/>
  <c r="U97" i="19"/>
  <c r="U102" i="19"/>
  <c r="U107" i="19"/>
  <c r="U50" i="19"/>
  <c r="U46" i="19"/>
  <c r="U42" i="19"/>
  <c r="U38" i="19"/>
  <c r="U34" i="19"/>
  <c r="U30" i="19"/>
  <c r="U26" i="19"/>
  <c r="U22" i="19"/>
  <c r="U18" i="19"/>
  <c r="U14" i="19"/>
  <c r="U56" i="19"/>
  <c r="U60" i="19"/>
  <c r="U64" i="19"/>
  <c r="U68" i="19"/>
  <c r="U72" i="19"/>
  <c r="U76" i="19"/>
  <c r="U80" i="19"/>
  <c r="U84" i="19"/>
  <c r="U88" i="19"/>
  <c r="U92" i="19"/>
  <c r="U96" i="19"/>
  <c r="U100" i="19"/>
  <c r="U104" i="19"/>
  <c r="S100" i="19"/>
  <c r="J49" i="19"/>
  <c r="J51" i="19"/>
  <c r="J38" i="19"/>
  <c r="S62" i="19"/>
  <c r="J19" i="19"/>
  <c r="J24" i="19"/>
  <c r="J26" i="19"/>
  <c r="S95" i="19"/>
  <c r="S58" i="19"/>
  <c r="T66" i="19"/>
  <c r="S80" i="19"/>
  <c r="S37" i="19"/>
  <c r="J16" i="19"/>
  <c r="J30" i="19"/>
  <c r="J47" i="19"/>
  <c r="J48" i="19"/>
  <c r="S75" i="19"/>
  <c r="S17" i="19"/>
  <c r="J18" i="19"/>
  <c r="J44" i="19"/>
  <c r="J46" i="19"/>
  <c r="S42" i="19"/>
  <c r="S22" i="19"/>
  <c r="T32" i="19"/>
  <c r="T27" i="19"/>
  <c r="J40" i="19"/>
  <c r="J50" i="19"/>
  <c r="S90" i="19"/>
  <c r="S70" i="19"/>
  <c r="S54" i="19"/>
  <c r="T105" i="19"/>
  <c r="T85" i="19"/>
  <c r="T49" i="19"/>
  <c r="J31" i="19"/>
  <c r="J32" i="19"/>
  <c r="J33" i="19"/>
  <c r="J34" i="19"/>
  <c r="J37" i="19"/>
  <c r="J42" i="19"/>
  <c r="J45" i="19"/>
  <c r="J52" i="19"/>
  <c r="J63"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J99" i="19"/>
  <c r="J100" i="19"/>
  <c r="J101" i="19"/>
  <c r="J103" i="19"/>
  <c r="J104" i="19"/>
  <c r="T34" i="19"/>
  <c r="J43" i="19"/>
  <c r="J54" i="19"/>
  <c r="J56" i="19"/>
  <c r="J58" i="19"/>
  <c r="J60" i="19"/>
  <c r="J62" i="19"/>
  <c r="J64" i="19"/>
  <c r="J105" i="19"/>
  <c r="J108" i="19"/>
  <c r="J23" i="19"/>
  <c r="J27" i="19"/>
  <c r="J35" i="19"/>
  <c r="J41" i="19"/>
  <c r="J15" i="19"/>
  <c r="J21" i="19"/>
  <c r="J53" i="19"/>
  <c r="J55" i="19"/>
  <c r="J57" i="19"/>
  <c r="J59" i="19"/>
  <c r="J61" i="19"/>
  <c r="J102" i="19"/>
  <c r="J106" i="19"/>
  <c r="J107" i="19"/>
  <c r="J14" i="19"/>
  <c r="J17" i="19"/>
  <c r="J20" i="19"/>
  <c r="J22" i="19"/>
  <c r="J25" i="19"/>
  <c r="J28" i="19"/>
  <c r="J29" i="19"/>
  <c r="J36" i="19"/>
  <c r="J39" i="19"/>
  <c r="J13" i="19"/>
  <c r="U2" i="19"/>
  <c r="U1" i="19"/>
  <c r="AA1" i="5"/>
  <c r="G95" i="10"/>
  <c r="G92" i="10"/>
  <c r="G94" i="10"/>
  <c r="N90" i="10"/>
  <c r="F7" i="20"/>
  <c r="I87" i="5" l="1"/>
  <c r="I85" i="5"/>
  <c r="H84" i="5"/>
  <c r="H57" i="5"/>
  <c r="H39" i="5"/>
  <c r="H55" i="5"/>
  <c r="H87" i="5"/>
  <c r="H52" i="5"/>
  <c r="H32" i="5"/>
  <c r="H35" i="5"/>
  <c r="H85" i="5"/>
  <c r="H47" i="5"/>
  <c r="H31" i="5"/>
  <c r="H33" i="5"/>
  <c r="H40" i="5"/>
  <c r="H9" i="5"/>
  <c r="H6" i="5"/>
  <c r="H83" i="5"/>
  <c r="H100" i="5"/>
  <c r="H82" i="5"/>
  <c r="H69" i="5"/>
  <c r="H59" i="5"/>
  <c r="H27" i="5"/>
  <c r="H21" i="5"/>
  <c r="H95" i="5"/>
  <c r="H74" i="5"/>
  <c r="H64" i="5"/>
  <c r="H24" i="5"/>
  <c r="H14" i="5"/>
  <c r="H92" i="5"/>
  <c r="H72" i="5"/>
  <c r="H62" i="5"/>
  <c r="H54" i="5"/>
  <c r="H97" i="5"/>
  <c r="H77" i="5"/>
  <c r="H67" i="5"/>
  <c r="H25" i="5"/>
  <c r="H19" i="5"/>
  <c r="H22" i="5"/>
  <c r="T18" i="19"/>
  <c r="T38" i="19"/>
  <c r="T50" i="19"/>
  <c r="T86" i="19"/>
  <c r="T106" i="19"/>
  <c r="T13" i="19"/>
  <c r="T23" i="19"/>
  <c r="T55" i="19"/>
  <c r="T59" i="19"/>
  <c r="T63" i="19"/>
  <c r="T67" i="19"/>
  <c r="T71" i="19"/>
  <c r="T91" i="19"/>
  <c r="T107" i="19"/>
  <c r="T101" i="19"/>
  <c r="T28" i="19"/>
  <c r="T76" i="19"/>
  <c r="T96" i="19"/>
  <c r="T108" i="19"/>
  <c r="T33" i="19"/>
  <c r="T45" i="19"/>
  <c r="T81" i="19"/>
  <c r="S14" i="19"/>
  <c r="S18" i="19"/>
  <c r="S26" i="19"/>
  <c r="S30" i="19"/>
  <c r="S34" i="19"/>
  <c r="S38" i="19"/>
  <c r="S46" i="19"/>
  <c r="S50" i="19"/>
  <c r="S74" i="19"/>
  <c r="S78" i="19"/>
  <c r="S82" i="19"/>
  <c r="S86" i="19"/>
  <c r="S94" i="19"/>
  <c r="S98" i="19"/>
  <c r="S102" i="19"/>
  <c r="S106" i="19"/>
  <c r="S15" i="19"/>
  <c r="S19" i="19"/>
  <c r="S23" i="19"/>
  <c r="S31" i="19"/>
  <c r="S35" i="19"/>
  <c r="S39" i="19"/>
  <c r="S43" i="19"/>
  <c r="S47" i="19"/>
  <c r="S51" i="19"/>
  <c r="S55" i="19"/>
  <c r="S59" i="19"/>
  <c r="S63" i="19"/>
  <c r="S67" i="19"/>
  <c r="S71" i="19"/>
  <c r="S79" i="19"/>
  <c r="S83" i="19"/>
  <c r="S87" i="19"/>
  <c r="S91" i="19"/>
  <c r="S99" i="19"/>
  <c r="S103" i="19"/>
  <c r="S107" i="19"/>
  <c r="S16" i="19"/>
  <c r="S20" i="19"/>
  <c r="S24" i="19"/>
  <c r="S28" i="19"/>
  <c r="S36" i="19"/>
  <c r="S40" i="19"/>
  <c r="S44" i="19"/>
  <c r="S48" i="19"/>
  <c r="S52" i="19"/>
  <c r="S56" i="19"/>
  <c r="S60" i="19"/>
  <c r="S64" i="19"/>
  <c r="S68" i="19"/>
  <c r="S72" i="19"/>
  <c r="S76" i="19"/>
  <c r="S84" i="19"/>
  <c r="S88" i="19"/>
  <c r="S92" i="19"/>
  <c r="S96" i="19"/>
  <c r="S104" i="19"/>
  <c r="S108" i="19"/>
  <c r="S21" i="19"/>
  <c r="S25" i="19"/>
  <c r="S29" i="19"/>
  <c r="S33" i="19"/>
  <c r="S41" i="19"/>
  <c r="S45" i="19"/>
  <c r="S53" i="19"/>
  <c r="S57" i="19"/>
  <c r="S61" i="19"/>
  <c r="S65" i="19"/>
  <c r="S69" i="19"/>
  <c r="S73" i="19"/>
  <c r="S77" i="19"/>
  <c r="S81" i="19"/>
  <c r="S89" i="19"/>
  <c r="S93" i="19"/>
  <c r="S97" i="19"/>
  <c r="S101" i="19"/>
  <c r="S13" i="19"/>
  <c r="G90" i="5"/>
  <c r="G89" i="5"/>
  <c r="G88" i="5"/>
  <c r="G87" i="5"/>
  <c r="I86" i="5"/>
  <c r="H86" i="5"/>
  <c r="G86" i="5"/>
  <c r="G85" i="5"/>
  <c r="G84" i="5"/>
  <c r="G83" i="5"/>
  <c r="I82" i="5"/>
  <c r="G82" i="5"/>
  <c r="I81" i="5"/>
  <c r="H81" i="5"/>
  <c r="G81" i="5"/>
  <c r="I80" i="5"/>
  <c r="H80" i="5"/>
  <c r="G80" i="5"/>
  <c r="H79" i="5"/>
  <c r="G79" i="5"/>
  <c r="I78" i="5"/>
  <c r="H78" i="5"/>
  <c r="C21" i="16"/>
  <c r="C19" i="16"/>
  <c r="C20" i="16"/>
  <c r="C18" i="16"/>
  <c r="G78" i="5"/>
  <c r="G77" i="5"/>
  <c r="I76" i="5"/>
  <c r="H76" i="5"/>
  <c r="G76" i="5"/>
  <c r="I75" i="5"/>
  <c r="H75" i="5"/>
  <c r="G75" i="5"/>
  <c r="G74" i="5"/>
  <c r="I73" i="5"/>
  <c r="H73" i="5"/>
  <c r="G73" i="5"/>
  <c r="G72" i="5"/>
  <c r="I71" i="5"/>
  <c r="H71" i="5"/>
  <c r="G71" i="5"/>
  <c r="I70" i="5"/>
  <c r="H70" i="5"/>
  <c r="G70" i="5"/>
  <c r="G69" i="5"/>
  <c r="I68" i="5"/>
  <c r="H68" i="5"/>
  <c r="G68" i="5"/>
  <c r="I66" i="5"/>
  <c r="G67" i="5"/>
  <c r="H66" i="5"/>
  <c r="G66" i="5"/>
  <c r="I65" i="5"/>
  <c r="H65" i="5"/>
  <c r="G65" i="5"/>
  <c r="G64" i="5"/>
  <c r="I63" i="5"/>
  <c r="H63" i="5"/>
  <c r="G63" i="5"/>
  <c r="G62" i="5"/>
  <c r="I61" i="5"/>
  <c r="H61" i="5"/>
  <c r="G61" i="5"/>
  <c r="I60" i="5"/>
  <c r="H60" i="5"/>
  <c r="G60" i="5"/>
  <c r="G59" i="5"/>
  <c r="I58" i="5"/>
  <c r="H58" i="5"/>
  <c r="G58" i="5" l="1"/>
  <c r="C18" i="7"/>
  <c r="C17" i="7"/>
  <c r="H50" i="5" s="1"/>
  <c r="I57" i="5"/>
  <c r="I56" i="5"/>
  <c r="H56" i="5"/>
  <c r="G57" i="5"/>
  <c r="G56" i="5"/>
  <c r="I55" i="5"/>
  <c r="G55" i="5"/>
  <c r="G54" i="5"/>
  <c r="I53" i="5"/>
  <c r="H53" i="5"/>
  <c r="G53" i="5"/>
  <c r="G52" i="5"/>
  <c r="I51" i="5"/>
  <c r="H51" i="5"/>
  <c r="G51" i="5"/>
  <c r="I50" i="5"/>
  <c r="G50" i="5"/>
  <c r="I49" i="5"/>
  <c r="H49" i="5"/>
  <c r="G49" i="5"/>
  <c r="I48" i="5"/>
  <c r="H48" i="5"/>
  <c r="G48" i="5"/>
  <c r="I45" i="5"/>
  <c r="H45" i="5"/>
  <c r="G45" i="5"/>
  <c r="I47" i="5"/>
  <c r="G47" i="5"/>
  <c r="I46" i="5"/>
  <c r="H46" i="5"/>
  <c r="H44" i="5"/>
  <c r="G46" i="5"/>
  <c r="G44" i="5"/>
  <c r="I43" i="5"/>
  <c r="H43" i="5"/>
  <c r="G43" i="5"/>
  <c r="I42" i="5"/>
  <c r="H42" i="5"/>
  <c r="G42" i="5"/>
  <c r="I41" i="5"/>
  <c r="H41" i="5"/>
  <c r="G41" i="5"/>
  <c r="I32" i="5"/>
  <c r="I31" i="5"/>
  <c r="I40" i="5"/>
  <c r="I39" i="5"/>
  <c r="G40" i="5"/>
  <c r="G39" i="5"/>
  <c r="G32" i="5"/>
  <c r="G31" i="5"/>
  <c r="I30" i="5"/>
  <c r="I29" i="5"/>
  <c r="H30" i="5"/>
  <c r="G30" i="5"/>
  <c r="H29" i="5"/>
  <c r="G29" i="5"/>
  <c r="I38" i="5"/>
  <c r="I37" i="5"/>
  <c r="H38" i="5"/>
  <c r="G38" i="5"/>
  <c r="H37" i="5"/>
  <c r="G37" i="5"/>
  <c r="I36" i="5"/>
  <c r="H36" i="5"/>
  <c r="G36" i="5"/>
  <c r="I34" i="5"/>
  <c r="G35" i="5"/>
  <c r="H34" i="5"/>
  <c r="G34" i="5"/>
  <c r="G33" i="5"/>
  <c r="I28" i="5"/>
  <c r="H28" i="5"/>
  <c r="G28" i="5"/>
  <c r="G27" i="5"/>
  <c r="I26" i="5"/>
  <c r="H26" i="5"/>
  <c r="G26" i="5"/>
  <c r="G25" i="5" l="1"/>
  <c r="G24" i="5"/>
  <c r="I23" i="5"/>
  <c r="H23" i="5"/>
  <c r="G23" i="5"/>
  <c r="G22" i="5"/>
  <c r="AD9" i="5"/>
  <c r="AC9" i="5"/>
  <c r="AB9" i="5"/>
  <c r="I21" i="5"/>
  <c r="G21" i="5"/>
  <c r="AD8" i="5"/>
  <c r="AC8" i="5"/>
  <c r="AB8" i="5"/>
  <c r="I20" i="5"/>
  <c r="H20" i="5"/>
  <c r="G20" i="5"/>
  <c r="AD7" i="5"/>
  <c r="AC7" i="5"/>
  <c r="AB7" i="5"/>
  <c r="G19" i="5"/>
  <c r="AD6" i="5"/>
  <c r="AC6" i="5"/>
  <c r="AB6" i="5"/>
  <c r="I18" i="5"/>
  <c r="H18" i="5"/>
  <c r="G18" i="5"/>
  <c r="AD5" i="5"/>
  <c r="AC5" i="5"/>
  <c r="AB5" i="5"/>
  <c r="I17" i="5"/>
  <c r="H17" i="5"/>
  <c r="G17" i="5"/>
  <c r="I16" i="5"/>
  <c r="H16" i="5"/>
  <c r="G16" i="5"/>
  <c r="I15" i="5"/>
  <c r="H15" i="5"/>
  <c r="G15" i="5"/>
  <c r="G14" i="5"/>
  <c r="I13" i="5"/>
  <c r="H13" i="5"/>
  <c r="G13" i="5"/>
  <c r="I12" i="5"/>
  <c r="H12" i="5"/>
  <c r="G12" i="5"/>
  <c r="I11" i="5"/>
  <c r="H11" i="5"/>
  <c r="G11" i="5"/>
  <c r="I10" i="5"/>
  <c r="H10" i="5"/>
  <c r="G10" i="5"/>
  <c r="I9" i="5"/>
  <c r="G9" i="5"/>
  <c r="I8" i="5"/>
  <c r="H8" i="5"/>
  <c r="G8" i="5"/>
  <c r="I7" i="5"/>
  <c r="H7" i="5"/>
  <c r="G7" i="5"/>
  <c r="G6" i="5"/>
  <c r="I5" i="5"/>
  <c r="H5" i="5"/>
  <c r="G5" i="5"/>
  <c r="D4" i="14"/>
  <c r="D3" i="14"/>
  <c r="O17" i="19" l="1"/>
  <c r="P16" i="19"/>
  <c r="P14" i="19"/>
  <c r="P21" i="19"/>
  <c r="O19" i="19"/>
  <c r="P22" i="19"/>
  <c r="O13" i="19"/>
  <c r="P83" i="19"/>
  <c r="P104" i="19"/>
  <c r="Q67" i="19"/>
  <c r="Q56" i="19"/>
  <c r="P64" i="19"/>
  <c r="P34" i="19"/>
  <c r="Q27" i="19"/>
  <c r="O51" i="19"/>
  <c r="P46" i="19"/>
  <c r="O52" i="19"/>
  <c r="P49" i="19"/>
  <c r="O104" i="19"/>
  <c r="P56" i="19"/>
  <c r="O64" i="19"/>
  <c r="P27" i="19"/>
  <c r="O46" i="19"/>
  <c r="Q24" i="19"/>
  <c r="Q87" i="19"/>
  <c r="Q75" i="19"/>
  <c r="Q64" i="19"/>
  <c r="Q47" i="19"/>
  <c r="P42" i="19"/>
  <c r="Q19" i="19"/>
  <c r="P70" i="19"/>
  <c r="O67" i="19"/>
  <c r="Q34" i="19"/>
  <c r="P51" i="19"/>
  <c r="Q52" i="19"/>
  <c r="Q30" i="19"/>
  <c r="Q83" i="19"/>
  <c r="Q71" i="19"/>
  <c r="O34" i="19"/>
  <c r="O40" i="19"/>
  <c r="Q16" i="19"/>
  <c r="Q65" i="19"/>
  <c r="P67" i="19"/>
  <c r="O56" i="19"/>
  <c r="Q36" i="19"/>
  <c r="P50" i="19"/>
  <c r="P24" i="19"/>
  <c r="Q104" i="19"/>
  <c r="Q79" i="19"/>
  <c r="Q59" i="19"/>
  <c r="P36" i="19"/>
  <c r="Q46" i="19"/>
  <c r="Q49" i="19"/>
  <c r="Q29" i="19"/>
  <c r="Q70" i="19"/>
  <c r="Q60" i="19"/>
  <c r="Q50" i="19"/>
  <c r="Q35" i="19"/>
  <c r="Q68" i="19"/>
  <c r="Q40" i="19"/>
  <c r="P62" i="19"/>
  <c r="Q66" i="19"/>
  <c r="P55" i="19"/>
  <c r="Q69" i="19"/>
  <c r="O39" i="19"/>
  <c r="P26" i="19"/>
  <c r="P33" i="19"/>
  <c r="P101" i="19"/>
  <c r="P60" i="19"/>
  <c r="P38" i="19"/>
  <c r="P102" i="19"/>
  <c r="Q15" i="19"/>
  <c r="Q81" i="19"/>
  <c r="Q17" i="19"/>
  <c r="O55" i="19"/>
  <c r="Q62" i="19"/>
  <c r="O35" i="19"/>
  <c r="Q80" i="19"/>
  <c r="P37" i="19"/>
  <c r="P68" i="19"/>
  <c r="P29" i="19"/>
  <c r="Q54" i="19"/>
  <c r="P54" i="19"/>
  <c r="P73" i="19"/>
  <c r="P58" i="19"/>
  <c r="Q37" i="19"/>
  <c r="Q82" i="19"/>
  <c r="O101" i="19"/>
  <c r="Q13" i="19"/>
  <c r="Q39" i="19"/>
  <c r="P105" i="19"/>
  <c r="Q101" i="19"/>
  <c r="Q33" i="19"/>
  <c r="P74" i="19"/>
  <c r="P25" i="19"/>
  <c r="O68" i="19"/>
  <c r="P39" i="19"/>
  <c r="O41" i="19"/>
  <c r="P90" i="19"/>
  <c r="P80" i="19"/>
  <c r="Q102" i="19"/>
  <c r="Q42" i="19"/>
  <c r="Q88" i="19"/>
  <c r="Q31" i="19"/>
  <c r="Q74" i="19"/>
  <c r="Q77" i="19"/>
  <c r="P59" i="19"/>
  <c r="P76" i="19"/>
  <c r="Q73" i="19"/>
  <c r="P43" i="19"/>
  <c r="P44" i="19"/>
  <c r="O102" i="19"/>
  <c r="P40" i="19"/>
  <c r="P63" i="19"/>
  <c r="Q21" i="19"/>
  <c r="Q23" i="19"/>
  <c r="P45" i="19"/>
  <c r="Q43" i="19"/>
  <c r="Q26" i="19"/>
  <c r="Q105" i="19"/>
  <c r="O63" i="19"/>
  <c r="O24" i="19"/>
  <c r="Q103" i="19"/>
  <c r="O33" i="19"/>
  <c r="P41" i="19"/>
  <c r="Q32" i="19"/>
  <c r="Q53" i="19"/>
  <c r="O50" i="19"/>
  <c r="P81" i="19"/>
  <c r="Q78" i="19"/>
  <c r="Q72" i="19"/>
  <c r="Q89" i="19"/>
  <c r="Q41" i="19"/>
  <c r="O60" i="19"/>
  <c r="Q55" i="19"/>
  <c r="Q48" i="19"/>
  <c r="Q20" i="19"/>
  <c r="Q86" i="19"/>
  <c r="P53" i="19"/>
  <c r="Q58" i="19"/>
  <c r="P72" i="19"/>
  <c r="P88" i="19"/>
  <c r="Q63" i="19"/>
  <c r="Q22" i="19"/>
  <c r="Q44" i="19"/>
  <c r="Q25" i="19"/>
  <c r="Q51" i="19"/>
  <c r="O48" i="19"/>
  <c r="Q18" i="19"/>
  <c r="O38" i="19"/>
  <c r="O86" i="19"/>
  <c r="O26" i="19"/>
  <c r="O44" i="19"/>
  <c r="P66" i="19"/>
  <c r="Q45" i="19"/>
  <c r="O53" i="19"/>
  <c r="O84" i="19"/>
  <c r="Q107" i="19"/>
  <c r="P85" i="19"/>
  <c r="P75" i="19"/>
  <c r="P78" i="19"/>
  <c r="Q61" i="19"/>
  <c r="Q57" i="19"/>
  <c r="Q28" i="19"/>
  <c r="Q38" i="19"/>
  <c r="P48" i="19"/>
  <c r="O43" i="19"/>
  <c r="Q85" i="19"/>
  <c r="Q90" i="19"/>
  <c r="Q14" i="19"/>
  <c r="Q84" i="19"/>
  <c r="Q76" i="19"/>
  <c r="O59" i="19"/>
  <c r="P79" i="19"/>
  <c r="O57" i="19"/>
  <c r="O61" i="19"/>
  <c r="O87" i="19"/>
  <c r="O83" i="19"/>
  <c r="O90" i="19"/>
  <c r="O73" i="19"/>
  <c r="O88" i="19"/>
  <c r="O76" i="19"/>
  <c r="O89" i="19"/>
  <c r="O31" i="19"/>
  <c r="P98" i="19"/>
  <c r="P97" i="19"/>
  <c r="P91" i="19"/>
  <c r="O95" i="19"/>
  <c r="O108" i="19"/>
  <c r="Q92" i="19"/>
  <c r="P93" i="19"/>
  <c r="O93" i="19"/>
  <c r="O96" i="19"/>
  <c r="O106" i="19"/>
  <c r="O99" i="19"/>
  <c r="O94" i="19"/>
  <c r="P106" i="19"/>
  <c r="P28" i="19"/>
  <c r="O85" i="19"/>
  <c r="O79" i="19"/>
  <c r="P82" i="19"/>
  <c r="Q100" i="19"/>
  <c r="O91" i="19"/>
  <c r="P71" i="19"/>
  <c r="O23" i="19"/>
  <c r="O27" i="19"/>
  <c r="O82" i="19"/>
  <c r="O25" i="19"/>
  <c r="P89" i="19"/>
  <c r="O80" i="19"/>
  <c r="P77" i="19"/>
  <c r="P87" i="19"/>
  <c r="O29" i="19"/>
  <c r="Q108" i="19"/>
  <c r="O98" i="19"/>
  <c r="Q95" i="19"/>
  <c r="P95" i="19"/>
  <c r="Q91" i="19"/>
  <c r="Q97" i="19"/>
  <c r="P92" i="19"/>
  <c r="O107" i="19"/>
  <c r="P100" i="19"/>
  <c r="O97" i="19"/>
  <c r="P86" i="19"/>
  <c r="O32" i="19"/>
  <c r="O75" i="19"/>
  <c r="O30" i="19"/>
  <c r="P84" i="19"/>
  <c r="O77" i="19"/>
  <c r="O74" i="19"/>
  <c r="O81" i="19"/>
  <c r="O78" i="19"/>
  <c r="Q106" i="19"/>
  <c r="P99" i="19"/>
  <c r="Q99" i="19"/>
  <c r="O100" i="19"/>
  <c r="Q93" i="19"/>
  <c r="Q94" i="19"/>
  <c r="O28" i="19"/>
  <c r="O72" i="19"/>
  <c r="P32" i="19"/>
  <c r="P31" i="19"/>
  <c r="O42" i="19"/>
  <c r="O71" i="19"/>
  <c r="O92" i="19"/>
  <c r="P107" i="19"/>
  <c r="P96" i="19"/>
  <c r="P108" i="19"/>
  <c r="Q98" i="19"/>
  <c r="P94" i="19"/>
  <c r="Q96" i="19"/>
  <c r="O20" i="19"/>
  <c r="P18" i="19"/>
  <c r="O16" i="19"/>
  <c r="P15" i="19"/>
  <c r="O14" i="19"/>
  <c r="O21" i="19"/>
  <c r="P20" i="19"/>
  <c r="O22" i="19"/>
  <c r="O18" i="19"/>
  <c r="P19" i="19"/>
  <c r="O15" i="19"/>
  <c r="P13" i="19"/>
  <c r="P17" i="19"/>
  <c r="O103" i="19"/>
  <c r="I6" i="5"/>
  <c r="P103" i="19" s="1"/>
  <c r="O105" i="19"/>
  <c r="I22" i="5"/>
  <c r="P23" i="19" s="1"/>
  <c r="O37" i="19"/>
  <c r="I79" i="5"/>
  <c r="P30" i="19" s="1"/>
  <c r="I84" i="5"/>
  <c r="P35" i="19" s="1"/>
  <c r="O36" i="19"/>
  <c r="I54" i="5"/>
  <c r="P47" i="19" s="1"/>
  <c r="O66" i="19"/>
  <c r="I33" i="5"/>
  <c r="P69" i="19" s="1"/>
  <c r="O49" i="19"/>
  <c r="O47" i="19"/>
  <c r="O58" i="19"/>
  <c r="O70" i="19"/>
  <c r="O69" i="19"/>
  <c r="O45" i="19"/>
  <c r="O54" i="19"/>
  <c r="I44" i="5"/>
  <c r="P52" i="19" s="1"/>
  <c r="O62" i="19"/>
  <c r="I35" i="5"/>
  <c r="P65" i="19" s="1"/>
  <c r="I27" i="5"/>
  <c r="P57" i="19" s="1"/>
  <c r="O65" i="19"/>
  <c r="I25" i="5"/>
  <c r="P61" i="19" s="1"/>
  <c r="AA5" i="5"/>
  <c r="AH5" i="5" s="1"/>
  <c r="K92" i="10" s="1"/>
  <c r="AA7" i="5"/>
  <c r="AH7" i="5" s="1"/>
  <c r="K94" i="10" s="1"/>
  <c r="AA6" i="5"/>
  <c r="AH6" i="5" s="1"/>
  <c r="K93" i="10" s="1"/>
  <c r="AA8" i="5"/>
  <c r="AH8" i="5" s="1"/>
  <c r="K95" i="10" s="1"/>
  <c r="AA9" i="5"/>
  <c r="AH9" i="5" s="1"/>
  <c r="K96" i="10" s="1"/>
  <c r="V38" i="19" l="1"/>
  <c r="W38" i="19" s="1"/>
  <c r="V90" i="19"/>
  <c r="W90" i="19" s="1"/>
  <c r="Y90" i="19" s="1"/>
  <c r="V85" i="19"/>
  <c r="W85" i="19" s="1"/>
  <c r="V17" i="19"/>
  <c r="W17" i="19" s="1"/>
  <c r="V29" i="19"/>
  <c r="W29" i="19" s="1"/>
  <c r="V16" i="19"/>
  <c r="W16" i="19" s="1"/>
  <c r="V13" i="19"/>
  <c r="W13" i="19" s="1"/>
  <c r="V74" i="19"/>
  <c r="W74" i="19" s="1"/>
  <c r="V71" i="19"/>
  <c r="W71" i="19" s="1"/>
  <c r="V73" i="19"/>
  <c r="W73" i="19" s="1"/>
  <c r="V55" i="19"/>
  <c r="W55" i="19" s="1"/>
  <c r="V56" i="19"/>
  <c r="W56" i="19" s="1"/>
  <c r="V14" i="19"/>
  <c r="W14" i="19" s="1"/>
  <c r="V68" i="19"/>
  <c r="W68" i="19" s="1"/>
  <c r="Y68" i="19" s="1"/>
  <c r="V91" i="19"/>
  <c r="W91" i="19" s="1"/>
  <c r="V22" i="19"/>
  <c r="W22" i="19" s="1"/>
  <c r="V27" i="19"/>
  <c r="W27" i="19" s="1"/>
  <c r="V101" i="19"/>
  <c r="W101" i="19" s="1"/>
  <c r="V21" i="19"/>
  <c r="W21" i="19" s="1"/>
  <c r="V37" i="19"/>
  <c r="W37" i="19" s="1"/>
  <c r="V77" i="19"/>
  <c r="W77" i="19" s="1"/>
  <c r="V59" i="19"/>
  <c r="W59" i="19" s="1"/>
  <c r="V44" i="19"/>
  <c r="W44" i="19" s="1"/>
  <c r="V92" i="19"/>
  <c r="W92" i="19" s="1"/>
  <c r="V47" i="19"/>
  <c r="W47" i="19" s="1"/>
  <c r="V36" i="19"/>
  <c r="W36" i="19" s="1"/>
  <c r="V25" i="19"/>
  <c r="W25" i="19" s="1"/>
  <c r="V33" i="19"/>
  <c r="W33" i="19" s="1"/>
  <c r="V102" i="19"/>
  <c r="W102" i="19" s="1"/>
  <c r="V24" i="19"/>
  <c r="W24" i="19" s="1"/>
  <c r="V96" i="19"/>
  <c r="W96" i="19" s="1"/>
  <c r="V108" i="19"/>
  <c r="W108" i="19" s="1"/>
  <c r="V87" i="19"/>
  <c r="W87" i="19" s="1"/>
  <c r="Y87" i="19" s="1"/>
  <c r="V84" i="19"/>
  <c r="W84" i="19" s="1"/>
  <c r="V64" i="19"/>
  <c r="W64" i="19" s="1"/>
  <c r="V30" i="19"/>
  <c r="W30" i="19" s="1"/>
  <c r="V93" i="19"/>
  <c r="W93" i="19" s="1"/>
  <c r="V53" i="19"/>
  <c r="W53" i="19" s="1"/>
  <c r="V67" i="19"/>
  <c r="W67" i="19" s="1"/>
  <c r="Y67" i="19" s="1"/>
  <c r="V15" i="19"/>
  <c r="W15" i="19" s="1"/>
  <c r="V19" i="19"/>
  <c r="W19" i="19" s="1"/>
  <c r="V107" i="19"/>
  <c r="W107" i="19" s="1"/>
  <c r="V20" i="19"/>
  <c r="W20" i="19" s="1"/>
  <c r="V100" i="19"/>
  <c r="W100" i="19" s="1"/>
  <c r="V79" i="19"/>
  <c r="W79" i="19" s="1"/>
  <c r="V94" i="19"/>
  <c r="W94" i="19" s="1"/>
  <c r="V31" i="19"/>
  <c r="W31" i="19" s="1"/>
  <c r="V26" i="19"/>
  <c r="W26" i="19" s="1"/>
  <c r="V48" i="19"/>
  <c r="W48" i="19" s="1"/>
  <c r="V50" i="19"/>
  <c r="W50" i="19" s="1"/>
  <c r="V88" i="19"/>
  <c r="W88" i="19" s="1"/>
  <c r="Y88" i="19" s="1"/>
  <c r="V63" i="19"/>
  <c r="W63" i="19" s="1"/>
  <c r="V18" i="19"/>
  <c r="W18" i="19" s="1"/>
  <c r="V28" i="19"/>
  <c r="W28" i="19" s="1"/>
  <c r="V97" i="19"/>
  <c r="W97" i="19" s="1"/>
  <c r="V43" i="19"/>
  <c r="W43" i="19" s="1"/>
  <c r="V32" i="19"/>
  <c r="W32" i="19" s="1"/>
  <c r="V39" i="19"/>
  <c r="W39" i="19" s="1"/>
  <c r="V72" i="19"/>
  <c r="W72" i="19" s="1"/>
  <c r="V78" i="19"/>
  <c r="W78" i="19" s="1"/>
  <c r="V40" i="19"/>
  <c r="W40" i="19" s="1"/>
  <c r="V42" i="19"/>
  <c r="W42" i="19" s="1"/>
  <c r="V81" i="19"/>
  <c r="W81" i="19" s="1"/>
  <c r="V98" i="19"/>
  <c r="W98" i="19" s="1"/>
  <c r="V82" i="19"/>
  <c r="W82" i="19" s="1"/>
  <c r="V99" i="19"/>
  <c r="W99" i="19" s="1"/>
  <c r="V89" i="19"/>
  <c r="W89" i="19" s="1"/>
  <c r="Y89" i="19" s="1"/>
  <c r="V86" i="19"/>
  <c r="W86" i="19" s="1"/>
  <c r="V34" i="19"/>
  <c r="W34" i="19" s="1"/>
  <c r="V46" i="19"/>
  <c r="W46" i="19" s="1"/>
  <c r="V104" i="19"/>
  <c r="W104" i="19" s="1"/>
  <c r="V51" i="19"/>
  <c r="W51" i="19" s="1"/>
  <c r="V95" i="19"/>
  <c r="W95" i="19" s="1"/>
  <c r="V23" i="19"/>
  <c r="V75" i="19"/>
  <c r="W75" i="19" s="1"/>
  <c r="V80" i="19"/>
  <c r="W80" i="19" s="1"/>
  <c r="V106" i="19"/>
  <c r="W106" i="19" s="1"/>
  <c r="V76" i="19"/>
  <c r="W76" i="19" s="1"/>
  <c r="V83" i="19"/>
  <c r="W83" i="19" s="1"/>
  <c r="V60" i="19"/>
  <c r="W60" i="19" s="1"/>
  <c r="V41" i="19"/>
  <c r="W41" i="19" s="1"/>
  <c r="V69" i="19"/>
  <c r="W69" i="19" s="1"/>
  <c r="V103" i="19"/>
  <c r="V62" i="19"/>
  <c r="W62" i="19" s="1"/>
  <c r="V49" i="19"/>
  <c r="W49" i="19" s="1"/>
  <c r="V61" i="19"/>
  <c r="W61" i="19" s="1"/>
  <c r="V65" i="19"/>
  <c r="W65" i="19" s="1"/>
  <c r="V52" i="19"/>
  <c r="W52" i="19" s="1"/>
  <c r="V70" i="19"/>
  <c r="W70" i="19" s="1"/>
  <c r="Y70" i="19" s="1"/>
  <c r="V35" i="19"/>
  <c r="W35" i="19" s="1"/>
  <c r="V105" i="19"/>
  <c r="W105" i="19" s="1"/>
  <c r="V57" i="19"/>
  <c r="W57" i="19" s="1"/>
  <c r="V54" i="19"/>
  <c r="W54" i="19" s="1"/>
  <c r="V58" i="19"/>
  <c r="W58" i="19" s="1"/>
  <c r="V66" i="19"/>
  <c r="W66" i="19" s="1"/>
  <c r="V45" i="19"/>
  <c r="W45" i="19" s="1"/>
  <c r="L96" i="10"/>
  <c r="L95" i="10"/>
  <c r="L93" i="10"/>
  <c r="L92" i="10"/>
  <c r="L94" i="10"/>
  <c r="AG8" i="5"/>
  <c r="J95" i="10" s="1"/>
  <c r="AF8" i="5"/>
  <c r="I95" i="10" s="1"/>
  <c r="P95" i="10" s="1"/>
  <c r="AF6" i="5"/>
  <c r="I93" i="10" s="1"/>
  <c r="P93" i="10" s="1"/>
  <c r="AG6" i="5"/>
  <c r="J93" i="10" s="1"/>
  <c r="AF9" i="5"/>
  <c r="I96" i="10" s="1"/>
  <c r="AG9" i="5"/>
  <c r="J96" i="10" s="1"/>
  <c r="AG7" i="5"/>
  <c r="AF7" i="5"/>
  <c r="AF5" i="5"/>
  <c r="I92" i="10" s="1"/>
  <c r="P92" i="10" s="1"/>
  <c r="AG5" i="5"/>
  <c r="J92" i="10" s="1"/>
  <c r="J94" i="10" l="1"/>
  <c r="R4" i="19"/>
  <c r="R8" i="19"/>
  <c r="Y86" i="19"/>
  <c r="R7" i="19"/>
  <c r="R3" i="19"/>
  <c r="M96" i="10"/>
  <c r="N96" i="10" s="1"/>
  <c r="M92" i="10"/>
  <c r="N92" i="10" s="1"/>
  <c r="M95" i="10"/>
  <c r="N95" i="10" s="1"/>
  <c r="M93" i="10"/>
  <c r="N93" i="10" s="1"/>
  <c r="Y69" i="19"/>
  <c r="R6" i="19"/>
  <c r="W23" i="19"/>
  <c r="R5" i="19" s="1"/>
  <c r="W103" i="19"/>
  <c r="R2" i="19" s="1"/>
  <c r="R9" i="19"/>
  <c r="I94" i="10"/>
  <c r="P96" i="10"/>
  <c r="M94" i="10" l="1"/>
  <c r="N94" i="10" s="1"/>
  <c r="N97" i="10" s="1"/>
  <c r="N98" i="10" s="1"/>
  <c r="N99" i="10" s="1"/>
  <c r="P94" i="10"/>
</calcChain>
</file>

<file path=xl/sharedStrings.xml><?xml version="1.0" encoding="utf-8"?>
<sst xmlns="http://schemas.openxmlformats.org/spreadsheetml/2006/main" count="2117" uniqueCount="360">
  <si>
    <t>Port Dues</t>
  </si>
  <si>
    <t>Service</t>
  </si>
  <si>
    <t>Tariff</t>
  </si>
  <si>
    <t>Pilotage</t>
  </si>
  <si>
    <t>Mooring</t>
  </si>
  <si>
    <t>Row Labels</t>
  </si>
  <si>
    <t>SERVICE</t>
  </si>
  <si>
    <t>Berth Hire</t>
  </si>
  <si>
    <t>Min Charges</t>
  </si>
  <si>
    <t>Tariff Database : Mundra</t>
  </si>
  <si>
    <t>Tariff (in USD)</t>
  </si>
  <si>
    <t>Min (USD)</t>
  </si>
  <si>
    <t>CURR</t>
  </si>
  <si>
    <t>Remarks</t>
  </si>
  <si>
    <t>Status</t>
  </si>
  <si>
    <t>Port Dues (per GT)</t>
  </si>
  <si>
    <t>USD</t>
  </si>
  <si>
    <t>Verified</t>
  </si>
  <si>
    <t>Pilotage (for less than 10000 GT)</t>
  </si>
  <si>
    <t>Min - upto 3000 Gt</t>
  </si>
  <si>
    <t>Min for -3001 to 15000 GT</t>
  </si>
  <si>
    <t>Pilotage (for 10000 GT and above)</t>
  </si>
  <si>
    <t>Min for -15001 GT and above</t>
  </si>
  <si>
    <t>Berth Hire (GT per Hour)</t>
  </si>
  <si>
    <t>min for per day / 24 hours</t>
  </si>
  <si>
    <t>Anchorage (in hours)</t>
  </si>
  <si>
    <t>per GT per Hour</t>
  </si>
  <si>
    <t>Tug for Transportation (in hours)</t>
  </si>
  <si>
    <t>For maximum 5 hours and $ 440 for every subsequent hour thereafter.</t>
  </si>
  <si>
    <t>Additional Tug for pilotage (in hours)</t>
  </si>
  <si>
    <t>per hour</t>
  </si>
  <si>
    <t>Gangway (per Calender Day)</t>
  </si>
  <si>
    <t>per calender day</t>
  </si>
  <si>
    <t>Fresh water at Berth</t>
  </si>
  <si>
    <t>per MT</t>
  </si>
  <si>
    <t>Shore Mooring Winch Charges (per Day)</t>
  </si>
  <si>
    <t>No Service</t>
  </si>
  <si>
    <t>NA</t>
  </si>
  <si>
    <t>Skip</t>
  </si>
  <si>
    <t>Mooring Ropes (per rope/per calander day)</t>
  </si>
  <si>
    <t>Shore Crane Charges (per 2hrs. slab)</t>
  </si>
  <si>
    <t>INR</t>
  </si>
  <si>
    <t>2 HOURS SLAB</t>
  </si>
  <si>
    <t>Garbage Collection at Berth</t>
  </si>
  <si>
    <t>per collection / per trip</t>
  </si>
  <si>
    <t>Hot work permission (for hours)</t>
  </si>
  <si>
    <t>per 4 hour slab</t>
  </si>
  <si>
    <t>Hydra (for hours)</t>
  </si>
  <si>
    <t>Pipeline Charges (per MT)</t>
  </si>
  <si>
    <t>per GT for 15 days</t>
  </si>
  <si>
    <t>Mooring Charges</t>
  </si>
  <si>
    <t>Port Environment &amp; Safety</t>
  </si>
  <si>
    <t>Tariff Database : Hazira</t>
  </si>
  <si>
    <t>Port Dues &amp; Pilotage Charges for LNGC</t>
  </si>
  <si>
    <t>Pilotage (per GT)</t>
  </si>
  <si>
    <t>Port tariff for Non LNG Terminal</t>
  </si>
  <si>
    <t>Pilotage (Other Vessels)</t>
  </si>
  <si>
    <t>Upto 3,000 GRT</t>
  </si>
  <si>
    <t>3,001 – 15,000 GRT</t>
  </si>
  <si>
    <t>15,001 – 60,000 GRT</t>
  </si>
  <si>
    <t>Pilotage (Container Vessels)</t>
  </si>
  <si>
    <t>Any GT</t>
  </si>
  <si>
    <t>Pilotage (Tanker Vessels)</t>
  </si>
  <si>
    <t>upto 15,000 GRT</t>
  </si>
  <si>
    <t>15,001 – 25000 GRT</t>
  </si>
  <si>
    <t>Above 25000 GT</t>
  </si>
  <si>
    <t>except for Tanker vessels less than 25000 Gt</t>
  </si>
  <si>
    <t>for Tanker Vessels upto 25000 GT</t>
  </si>
  <si>
    <t>per GT per hour</t>
  </si>
  <si>
    <t>per hour per tug</t>
  </si>
  <si>
    <t>Per calendar day</t>
  </si>
  <si>
    <t>Rs. per hour</t>
  </si>
  <si>
    <t>per collection per trip</t>
  </si>
  <si>
    <t>Rs. Per MT</t>
  </si>
  <si>
    <t>per 15 days</t>
  </si>
  <si>
    <t>Port Env &amp; Safety</t>
  </si>
  <si>
    <t>Berth Hire -Other than Tankers</t>
  </si>
  <si>
    <t>Berth Hire -for Tankers</t>
  </si>
  <si>
    <t>MUNDRA</t>
  </si>
  <si>
    <t>VESSEL TYPE</t>
  </si>
  <si>
    <t>DAHEJ</t>
  </si>
  <si>
    <t>Tariff Database : Dahej</t>
  </si>
  <si>
    <t>per Calender Day</t>
  </si>
  <si>
    <t>Compulsory for 1st 24 hours after berthing for the vessels having LOA&gt;200m and / or draft &gt; 12.0m</t>
  </si>
  <si>
    <t>per Rope per Calender day</t>
  </si>
  <si>
    <t>Per 2 hour Slab or Part Thereof(Shore crane will be provided as per availability)</t>
  </si>
  <si>
    <t>per collection per Trip</t>
  </si>
  <si>
    <t>(Coal and Project Cargo)</t>
  </si>
  <si>
    <t>(all other cargo vessels)</t>
  </si>
  <si>
    <t>COAL &amp; PROJECT</t>
  </si>
  <si>
    <t>PORT</t>
  </si>
  <si>
    <t>lookup1</t>
  </si>
  <si>
    <t>upto 10000 gt</t>
  </si>
  <si>
    <t>10,001 to 30000 gt</t>
  </si>
  <si>
    <t>above 30k</t>
  </si>
  <si>
    <t>HAZIRA</t>
  </si>
  <si>
    <t>DHAMRA</t>
  </si>
  <si>
    <t>KATTUPALLI</t>
  </si>
  <si>
    <t>KPCL</t>
  </si>
  <si>
    <t>GPL</t>
  </si>
  <si>
    <t>Tariff Database : Dhamra</t>
  </si>
  <si>
    <t>Applicable to all vessels below 60000 GT.</t>
  </si>
  <si>
    <t>Applicable to all vessels of 60000 GT and above.</t>
  </si>
  <si>
    <t>per 30 mins slab</t>
  </si>
  <si>
    <t>Per Rope/ Per Calendar Day</t>
  </si>
  <si>
    <t>30 DAYS VALID</t>
  </si>
  <si>
    <t>DIGHI</t>
  </si>
  <si>
    <t>TUNA</t>
  </si>
  <si>
    <t>GOA</t>
  </si>
  <si>
    <t>ENNORE</t>
  </si>
  <si>
    <t>USD Rate</t>
  </si>
  <si>
    <t>Adani Ports -Vessel Dues Calculator</t>
  </si>
  <si>
    <t>Currency</t>
  </si>
  <si>
    <t>Vessel GT</t>
  </si>
  <si>
    <t>DRY</t>
  </si>
  <si>
    <t>CONTAINER</t>
  </si>
  <si>
    <t>FOREIGN</t>
  </si>
  <si>
    <t>VESSEL RUN</t>
  </si>
  <si>
    <t>Tariff Database : Kattupali</t>
  </si>
  <si>
    <r>
      <rPr>
        <b/>
        <i/>
        <sz val="10"/>
        <rFont val="Adani Regular"/>
      </rPr>
      <t>INR</t>
    </r>
    <r>
      <rPr>
        <sz val="10"/>
        <rFont val="Adani Regular"/>
      </rPr>
      <t xml:space="preserve"> for Normal Vessels + 10% surcharge</t>
    </r>
  </si>
  <si>
    <r>
      <rPr>
        <b/>
        <i/>
        <sz val="10"/>
        <rFont val="Adani Regular"/>
      </rPr>
      <t>INR</t>
    </r>
    <r>
      <rPr>
        <sz val="10"/>
        <rFont val="Adani Regular"/>
      </rPr>
      <t xml:space="preserve"> for Sailing Vessels + 10% surcharge</t>
    </r>
  </si>
  <si>
    <t>Upto 3000 GT</t>
  </si>
  <si>
    <t>3001 to 10000 GT</t>
  </si>
  <si>
    <t>OLD</t>
  </si>
  <si>
    <r>
      <t>10001 to</t>
    </r>
    <r>
      <rPr>
        <b/>
        <u/>
        <sz val="10"/>
        <rFont val="Adani Regular"/>
      </rPr>
      <t xml:space="preserve"> 15000</t>
    </r>
    <r>
      <rPr>
        <sz val="10"/>
        <rFont val="Adani Regular"/>
      </rPr>
      <t xml:space="preserve"> GT</t>
    </r>
  </si>
  <si>
    <t>10001 to 16000 GT</t>
  </si>
  <si>
    <r>
      <rPr>
        <b/>
        <u/>
        <sz val="10"/>
        <rFont val="Adani Regular"/>
      </rPr>
      <t>15001</t>
    </r>
    <r>
      <rPr>
        <sz val="10"/>
        <rFont val="Adani Regular"/>
      </rPr>
      <t xml:space="preserve"> to 30000 GT</t>
    </r>
  </si>
  <si>
    <t>16001 to 30000 GT</t>
  </si>
  <si>
    <t>30001 to 60000 GT</t>
  </si>
  <si>
    <t>Above 60000 GT</t>
  </si>
  <si>
    <t>Upto to 3000 GT</t>
  </si>
  <si>
    <r>
      <t xml:space="preserve">10000 to </t>
    </r>
    <r>
      <rPr>
        <b/>
        <u/>
        <sz val="10"/>
        <rFont val="Adani Regular"/>
      </rPr>
      <t>15000</t>
    </r>
    <r>
      <rPr>
        <sz val="10"/>
        <rFont val="Adani Regular"/>
      </rPr>
      <t xml:space="preserve"> GT</t>
    </r>
  </si>
  <si>
    <t>10000 to 16000 GT</t>
  </si>
  <si>
    <r>
      <rPr>
        <b/>
        <u/>
        <sz val="10"/>
        <rFont val="Adani Regular"/>
      </rPr>
      <t>15000</t>
    </r>
    <r>
      <rPr>
        <sz val="10"/>
        <rFont val="Adani Regular"/>
      </rPr>
      <t xml:space="preserve"> to 30000 GT</t>
    </r>
  </si>
  <si>
    <t>16000 to 30000 GT</t>
  </si>
  <si>
    <t>30000 to 60000 GT</t>
  </si>
  <si>
    <t>Foreign going, per GT per Hour</t>
  </si>
  <si>
    <r>
      <rPr>
        <b/>
        <i/>
        <sz val="10"/>
        <rFont val="Adani Regular"/>
      </rPr>
      <t>INR</t>
    </r>
    <r>
      <rPr>
        <sz val="10"/>
        <rFont val="Adani Regular"/>
      </rPr>
      <t xml:space="preserve"> per GT, upto 500 GT</t>
    </r>
  </si>
  <si>
    <r>
      <rPr>
        <b/>
        <i/>
        <sz val="10"/>
        <rFont val="Adani Regular"/>
      </rPr>
      <t>INR</t>
    </r>
    <r>
      <rPr>
        <sz val="10"/>
        <rFont val="Adani Regular"/>
      </rPr>
      <t xml:space="preserve"> per GT, above 500 GT</t>
    </r>
  </si>
  <si>
    <t>For maximum 4 hours and $ 400 for every subsequent hour thereafter</t>
  </si>
  <si>
    <t>per Calender day</t>
  </si>
  <si>
    <t>INR per Hour</t>
  </si>
  <si>
    <t>Per collection per trip</t>
  </si>
  <si>
    <t>10001 to 15000 GT</t>
  </si>
  <si>
    <t>15001 to 30000 GT</t>
  </si>
  <si>
    <t>10000 to 15000 GT</t>
  </si>
  <si>
    <t>15000 to 30000 GT</t>
  </si>
  <si>
    <t>Pilotage &amp; Towage
CONTAINER -FOREIGN</t>
  </si>
  <si>
    <t>Pilotage &amp; Towage
CONTAINER -COASTAL</t>
  </si>
  <si>
    <t>Pilotage &amp; Towage
ALL OTHER -COASTAL</t>
  </si>
  <si>
    <t>Pilotage &amp; Towage
ALL OTHER -FOREIGN</t>
  </si>
  <si>
    <t>Berth Hire -CONTR -FOREING</t>
  </si>
  <si>
    <t>Berth Hire -CONTR -COASTAL</t>
  </si>
  <si>
    <t>Coastal going, per GT per Hour</t>
  </si>
  <si>
    <t>Berth Hire -ALL OTHER -FOREING</t>
  </si>
  <si>
    <t>Berth Hire -ALL OTHER -COASTAL</t>
  </si>
  <si>
    <t>TARIFF</t>
  </si>
  <si>
    <t>MIN AMT</t>
  </si>
  <si>
    <t>AMT USD</t>
  </si>
  <si>
    <t>AMT INR</t>
  </si>
  <si>
    <t>Total (without GST)</t>
  </si>
  <si>
    <t>GST 18%</t>
  </si>
  <si>
    <t>Total (with GST)</t>
  </si>
  <si>
    <t>COASTAL</t>
  </si>
  <si>
    <t>LNG</t>
  </si>
  <si>
    <t>TANKER</t>
  </si>
  <si>
    <t>Port Environment &amp; Safety -for containers</t>
  </si>
  <si>
    <t>15 days valid</t>
  </si>
  <si>
    <t>Port Dues (per GT) 
All other vessels -Foreign</t>
  </si>
  <si>
    <t>Port Dues (per GT) 
container / car / Project cargo -F / C</t>
  </si>
  <si>
    <t xml:space="preserve">Port Dues (per GT) 
All other vessels -Coastal </t>
  </si>
  <si>
    <t>15001 to 30001 GT</t>
  </si>
  <si>
    <t>30001 to 60000 gt</t>
  </si>
  <si>
    <t>60001 AND ABOVE</t>
  </si>
  <si>
    <t>Pilotage -
Container / car / Project cargo -F / C</t>
  </si>
  <si>
    <t>Pilotage - 
All other vessels -Foreign</t>
  </si>
  <si>
    <t>UPTO 8000 GT</t>
  </si>
  <si>
    <t>8001 TO 20000 GT</t>
  </si>
  <si>
    <t>20001 TO 40000 GT</t>
  </si>
  <si>
    <t>40001 TO 70000 GT</t>
  </si>
  <si>
    <t>70001 AND ABOVE</t>
  </si>
  <si>
    <t>Pilotage - 
All other vessels -Coastal</t>
  </si>
  <si>
    <t>usd</t>
  </si>
  <si>
    <t>all vessels and runs</t>
  </si>
  <si>
    <t>for all other vessels</t>
  </si>
  <si>
    <t>for container vsls</t>
  </si>
  <si>
    <t xml:space="preserve">usd </t>
  </si>
  <si>
    <t>for roro</t>
  </si>
  <si>
    <t>Berth Hire -CONTR -F /C</t>
  </si>
  <si>
    <t>Berth Hire -ALL OTHER -F/C</t>
  </si>
  <si>
    <t>Port Dues -POL Tankers -F / C</t>
  </si>
  <si>
    <t>upto 3000 GT</t>
  </si>
  <si>
    <t>3001 to 15000 gt</t>
  </si>
  <si>
    <t>15001 and above</t>
  </si>
  <si>
    <t>UPTO 15000 GT</t>
  </si>
  <si>
    <t>15001 TO 25000 GT</t>
  </si>
  <si>
    <t>250001 AND ABOVE</t>
  </si>
  <si>
    <t>UPTO 3000 GT</t>
  </si>
  <si>
    <t>3001 TO 15000 GT</t>
  </si>
  <si>
    <t>Berth Hire -TANKERS</t>
  </si>
  <si>
    <t>15001 TO 30000 GT</t>
  </si>
  <si>
    <t>ABOVE 30001 GT</t>
  </si>
  <si>
    <t>UPTO 45000 GT</t>
  </si>
  <si>
    <t>ABOVE 45000 GT</t>
  </si>
  <si>
    <t>PORT DUES -GLOBAL</t>
  </si>
  <si>
    <t>Pilotage - upto 45000 GT</t>
  </si>
  <si>
    <t>Pilotage - above 45000 GT</t>
  </si>
  <si>
    <t>upto 5000 GT</t>
  </si>
  <si>
    <t>5001 to 10000 gt</t>
  </si>
  <si>
    <t>10001 to 15000 gt</t>
  </si>
  <si>
    <t>15001 and above GT</t>
  </si>
  <si>
    <t>Berth Hire -upto 45000 GT</t>
  </si>
  <si>
    <t>Berth Hire -Above 45000 GT</t>
  </si>
  <si>
    <t>TYPE</t>
  </si>
  <si>
    <t>PORTS</t>
  </si>
  <si>
    <t>TERMINALS</t>
  </si>
  <si>
    <t>Grand Total</t>
  </si>
  <si>
    <t>DAHEJCOAL &amp; PROJECTFOREIGNBerth Hire</t>
  </si>
  <si>
    <t>DAHEJCOAL &amp; PROJECTFOREIGNMooring</t>
  </si>
  <si>
    <t>DAHEJCOAL &amp; PROJECTFOREIGNPilotage</t>
  </si>
  <si>
    <t>DAHEJCOAL &amp; PROJECTFOREIGNPort Dues</t>
  </si>
  <si>
    <t>DAHEJCOAL &amp; PROJECTFOREIGNPort Env &amp; Safety</t>
  </si>
  <si>
    <t>HAZIRACONTAINERFOREIGNBerth Hire</t>
  </si>
  <si>
    <t>HAZIRACONTAINERFOREIGNMooring</t>
  </si>
  <si>
    <t>HAZIRACONTAINERFOREIGNPilotage</t>
  </si>
  <si>
    <t>HAZIRACONTAINERFOREIGNPort Dues</t>
  </si>
  <si>
    <t>HAZIRACONTAINERFOREIGNPort Env &amp; Safety</t>
  </si>
  <si>
    <t>HAZIRALNGFOREIGNPilotage</t>
  </si>
  <si>
    <t>HAZIRALNGFOREIGNPort Dues</t>
  </si>
  <si>
    <t>HAZIRATANKERFOREIGNBerth Hire</t>
  </si>
  <si>
    <t>HAZIRATANKERFOREIGNMooring</t>
  </si>
  <si>
    <t>HAZIRATANKERFOREIGNPilotage</t>
  </si>
  <si>
    <t>HAZIRATANKERFOREIGNPort Dues</t>
  </si>
  <si>
    <t>HAZIRATANKERFOREIGNPort Env &amp; Safety</t>
  </si>
  <si>
    <t>KPCLCONTAINERCOASTALBerth Hire</t>
  </si>
  <si>
    <t>KPCLCONTAINERCOASTALMooring</t>
  </si>
  <si>
    <t>KPCLCONTAINERCOASTALPilotage</t>
  </si>
  <si>
    <t>KPCLCONTAINERCOASTALPort Dues</t>
  </si>
  <si>
    <t>KPCLCONTAINERCOASTALPort Env &amp; Safety</t>
  </si>
  <si>
    <t>KPCLCONTAINERFOREIGNBerth Hire</t>
  </si>
  <si>
    <t>KPCLCONTAINERFOREIGNMooring</t>
  </si>
  <si>
    <t>KPCLCONTAINERFOREIGNPilotage</t>
  </si>
  <si>
    <t>KPCLCONTAINERFOREIGNPort Dues</t>
  </si>
  <si>
    <t>KPCLCONTAINERFOREIGNPort Env &amp; Safety</t>
  </si>
  <si>
    <t>ENNORECONTAINERFOREIGNBerth Hire</t>
  </si>
  <si>
    <t>GOADRYFOREIGNBerth Hire</t>
  </si>
  <si>
    <t>TUNADRYFOREIGNBerth Hire</t>
  </si>
  <si>
    <t>Sum of Tariff</t>
  </si>
  <si>
    <t>Sum of Min Charges</t>
  </si>
  <si>
    <t>GT</t>
  </si>
  <si>
    <t>Hrs</t>
  </si>
  <si>
    <t>Ex Rate</t>
  </si>
  <si>
    <t>RATE</t>
  </si>
  <si>
    <t>FILTER</t>
  </si>
  <si>
    <t>GRT</t>
  </si>
  <si>
    <t>Hours</t>
  </si>
  <si>
    <t>Value from Scroll Bar</t>
  </si>
  <si>
    <t>Value for VRC calc</t>
  </si>
  <si>
    <t>QTY</t>
  </si>
  <si>
    <t>TIME</t>
  </si>
  <si>
    <t>GENERAL</t>
  </si>
  <si>
    <t>DAHEJGENERALFOREIGNBerth Hire</t>
  </si>
  <si>
    <t>DAHEJGENERALFOREIGNMooring</t>
  </si>
  <si>
    <t>DAHEJGENERALFOREIGNPilotage</t>
  </si>
  <si>
    <t>DAHEJGENERALFOREIGNPort Dues</t>
  </si>
  <si>
    <t>DAHEJGENERALFOREIGNPort Env &amp; Safety</t>
  </si>
  <si>
    <t>DHAMRAGENERALFOREIGNBerth Hire</t>
  </si>
  <si>
    <t>DHAMRAGENERALFOREIGNMooring</t>
  </si>
  <si>
    <t>DHAMRAGENERALFOREIGNPilotage</t>
  </si>
  <si>
    <t>DHAMRAGENERALFOREIGNPort Dues</t>
  </si>
  <si>
    <t>DHAMRAGENERALFOREIGNPort Env &amp; Safety</t>
  </si>
  <si>
    <t>DIGHIGENERALFOREIGNBerth Hire</t>
  </si>
  <si>
    <t>DIGHIGENERALFOREIGNMooring</t>
  </si>
  <si>
    <t>DIGHIGENERALFOREIGNPilotage</t>
  </si>
  <si>
    <t>DIGHIGENERALFOREIGNPort Dues</t>
  </si>
  <si>
    <t>DIGHIGENERALFOREIGNPort Env &amp; Safety</t>
  </si>
  <si>
    <t>GPLGENERALFOREIGNBerth Hire</t>
  </si>
  <si>
    <t>GPLGENERALFOREIGNMooring</t>
  </si>
  <si>
    <t>GPLGENERALFOREIGNPilotage</t>
  </si>
  <si>
    <t>GPLGENERALFOREIGNPort Dues</t>
  </si>
  <si>
    <t>GPLGENERALFOREIGNPort Env &amp; Safety</t>
  </si>
  <si>
    <t>HAZIRAGENERALFOREIGNBerth Hire</t>
  </si>
  <si>
    <t>HAZIRAGENERALFOREIGNMooring</t>
  </si>
  <si>
    <t>HAZIRAGENERALFOREIGNPilotage</t>
  </si>
  <si>
    <t>HAZIRAGENERALFOREIGNPort Dues</t>
  </si>
  <si>
    <t>HAZIRAGENERALFOREIGNPort Env &amp; Safety</t>
  </si>
  <si>
    <t>KPCLGENERALCOASTALBerth Hire</t>
  </si>
  <si>
    <t>KPCLGENERALCOASTALMooring</t>
  </si>
  <si>
    <t>KPCLGENERALCOASTALPilotage</t>
  </si>
  <si>
    <t>KPCLGENERALCOASTALPort Dues</t>
  </si>
  <si>
    <t>KPCLGENERALCOASTALPort Env &amp; Safety</t>
  </si>
  <si>
    <t>KPCLGENERALFOREIGNBerth Hire</t>
  </si>
  <si>
    <t>KPCLGENERALFOREIGNMooring</t>
  </si>
  <si>
    <t>KPCLGENERALFOREIGNPilotage</t>
  </si>
  <si>
    <t>KPCLGENERALFOREIGNPort Dues</t>
  </si>
  <si>
    <t>KPCLGENERALFOREIGNPort Env &amp; Safety</t>
  </si>
  <si>
    <t>MUNDRAGENERALFOREIGNBerth Hire</t>
  </si>
  <si>
    <t>MUNDRAGENERALFOREIGNMooring</t>
  </si>
  <si>
    <t>MUNDRAGENERALFOREIGNPilotage</t>
  </si>
  <si>
    <t>MUNDRAGENERALFOREIGNPort Dues</t>
  </si>
  <si>
    <t>MUNDRAGENERALFOREIGNPort Env &amp; Safety</t>
  </si>
  <si>
    <t>HIDE</t>
  </si>
  <si>
    <t>VIEW</t>
  </si>
  <si>
    <t>TARIFF VIEW</t>
  </si>
  <si>
    <t>TARIFF CURR</t>
  </si>
  <si>
    <t>BERTH HIRE</t>
  </si>
  <si>
    <t>EX RATE</t>
  </si>
  <si>
    <t>KATTUPALLICONTAINERCOASTALBerth Hire</t>
  </si>
  <si>
    <t>KATTUPALLICONTAINERCOASTALMooring</t>
  </si>
  <si>
    <t>KATTUPALLICONTAINERCOASTALPilotage</t>
  </si>
  <si>
    <t>KATTUPALLICONTAINERCOASTALPort Env &amp; Safety</t>
  </si>
  <si>
    <t>KATTUPALLICONTAINERFOREIGNBerth Hire</t>
  </si>
  <si>
    <t>KATTUPALLICONTAINERFOREIGNMooring</t>
  </si>
  <si>
    <t>KATTUPALLICONTAINERFOREIGNPilotage</t>
  </si>
  <si>
    <t>KATTUPALLICONTAINERFOREIGNPort Env &amp; Safety</t>
  </si>
  <si>
    <t>KATTUPALLIGENERALCOASTALBerth Hire</t>
  </si>
  <si>
    <t>KATTUPALLIGENERALCOASTALMooring</t>
  </si>
  <si>
    <t>KATTUPALLIGENERALCOASTALPilotage</t>
  </si>
  <si>
    <t>KATTUPALLIGENERALCOASTALPort Env &amp; Safety</t>
  </si>
  <si>
    <t>KATTUPALLIGENERALFOREIGNBerth Hire</t>
  </si>
  <si>
    <t>KATTUPALLIGENERALFOREIGNMooring</t>
  </si>
  <si>
    <t>KATTUPALLIGENERALFOREIGNPilotage</t>
  </si>
  <si>
    <t>KATTUPALLIGENERALFOREIGNPort Env &amp; Safety</t>
  </si>
  <si>
    <t>PROJECT</t>
  </si>
  <si>
    <t>KPCLPROJECTCOASTALBerth Hire</t>
  </si>
  <si>
    <t>KPCLPROJECTCOASTALMooring</t>
  </si>
  <si>
    <t>KPCLPROJECTCOASTALPilotage</t>
  </si>
  <si>
    <t>KPCLPROJECTCOASTALPort Dues</t>
  </si>
  <si>
    <t>KPCLPROJECTCOASTALPort Env &amp; Safety</t>
  </si>
  <si>
    <t>KPCLPROJECTFOREIGNBerth Hire</t>
  </si>
  <si>
    <t>KPCLPROJECTFOREIGNMooring</t>
  </si>
  <si>
    <t>KPCLPROJECTFOREIGNPilotage</t>
  </si>
  <si>
    <t>KPCLPROJECTFOREIGNPort Dues</t>
  </si>
  <si>
    <t>KPCLPROJECTFOREIGNPort Env &amp; Safety</t>
  </si>
  <si>
    <t>,2,0</t>
  </si>
  <si>
    <t>Berth Hrs.</t>
  </si>
  <si>
    <t>Amt USD</t>
  </si>
  <si>
    <t>AmtINR</t>
  </si>
  <si>
    <t>Qty</t>
  </si>
  <si>
    <t>&lt;&gt;</t>
  </si>
  <si>
    <t>Port Dues -LNG</t>
  </si>
  <si>
    <t>Pilotage -
CONTAINER</t>
  </si>
  <si>
    <t>Pilotage -
TANKER</t>
  </si>
  <si>
    <t>Port Dues -POL Tankers</t>
  </si>
  <si>
    <t>Pilotage -
NON-LNG / GLOBAL</t>
  </si>
  <si>
    <t>Port Dues -NON-LNG / GLOBAL</t>
  </si>
  <si>
    <t>Pilotage -
POL TANKERS</t>
  </si>
  <si>
    <t>Pilotage -
LNG TANKERS</t>
  </si>
  <si>
    <t>VRC</t>
  </si>
  <si>
    <t>VSL TYPE</t>
  </si>
  <si>
    <t>VSL RUN</t>
  </si>
  <si>
    <t>APSEZ -VRC Tariff Calculator w.e.f Apr-21</t>
  </si>
  <si>
    <t>*  Taxes / duties extra</t>
  </si>
  <si>
    <t>Port Env tariff used same for all ports</t>
  </si>
  <si>
    <t>so in Dahej mapped inline with other ports</t>
  </si>
  <si>
    <t>for calculation purpose, used inline with other ports</t>
  </si>
  <si>
    <t>Compatible : Windows 10 / Office 365</t>
  </si>
  <si>
    <t>Sustainaibility Charges (per GT)</t>
  </si>
  <si>
    <t>Hourly:</t>
  </si>
  <si>
    <t>BHC Hourly Flag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</si>
</sst>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 #,##0.00_ ;_ * \-#,##0.00_ ;_ * &quot;-&quot;??_ ;_ @_ "/>
    <numFmt numFmtId="164" formatCode="_ * #,##0_ ;_ * \-#,##0_ ;_ * &quot;-&quot;??_ ;_ @_ "/>
    <numFmt numFmtId="165" formatCode="_(* #,##0.00_);_(* \(#,##0.00\);_(* &quot;-&quot;??_);_(@_)"/>
    <numFmt numFmtId="166" formatCode="_(* #,##0_);_(* \(#,##0\);_(* &quot;-&quot;??_);_(@_)"/>
    <numFmt numFmtId="167" formatCode="0.000000"/>
    <numFmt numFmtId="168" formatCode="_ * #,##0.00000_ ;_ * \-#,##0.00000_ ;_ * &quot;-&quot;??_ ;_ @_ "/>
    <numFmt numFmtId="169" formatCode="_ * #,##0.0000_ ;_ * \-#,##0.0000_ ;_ * &quot;-&quot;??_ ;_ @_ "/>
  </numFmts>
  <fonts count="14" x14ac:knownFonts="1">
    <font>
      <sz val="11"/>
      <color theme="1"/>
      <name val="Calibri"/>
      <family val="2"/>
      <scheme val="minor"/>
    </font>
    <font>
      <sz val="11"/>
      <color theme="1"/>
      <name val="Calibri"/>
      <family val="2"/>
      <scheme val="minor"/>
    </font>
    <font>
      <sz val="10"/>
      <name val="Arial"/>
      <family val="2"/>
    </font>
    <font>
      <b/>
      <sz val="10"/>
      <name val="Adani Regular"/>
    </font>
    <font>
      <sz val="10"/>
      <name val="Adani Regular"/>
    </font>
    <font>
      <sz val="10"/>
      <color theme="1"/>
      <name val="Adani Regular"/>
    </font>
    <font>
      <b/>
      <sz val="14"/>
      <name val="Adani Regular"/>
    </font>
    <font>
      <b/>
      <i/>
      <sz val="10"/>
      <name val="Adani Regular"/>
    </font>
    <font>
      <b/>
      <u/>
      <sz val="10"/>
      <name val="Adani Regular"/>
    </font>
    <font>
      <b/>
      <sz val="11"/>
      <color theme="1"/>
      <name val="Calibri"/>
      <family val="2"/>
      <scheme val="minor"/>
    </font>
    <font>
      <b/>
      <sz val="14"/>
      <color theme="1"/>
      <name val="Adani Regular"/>
    </font>
    <font>
      <b/>
      <sz val="9"/>
      <color theme="1"/>
      <name val="Calibri"/>
      <family val="2"/>
      <scheme val="minor"/>
    </font>
    <font>
      <sz val="11"/>
      <color theme="0" tint="-0.249977111117893"/>
      <name val="Calibri"/>
      <family val="2"/>
      <scheme val="minor"/>
    </font>
    <font>
      <b/>
      <sz val="11"/>
      <color theme="0" tint="-0.249977111117893"/>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indexed="64"/>
      </left>
      <right style="thin">
        <color indexed="64"/>
      </right>
      <top style="thin">
        <color indexed="64"/>
      </top>
      <bottom/>
      <diagonal/>
    </border>
    <border>
      <left style="thin">
        <color theme="1"/>
      </left>
      <right style="thin">
        <color indexed="64"/>
      </right>
      <top/>
      <bottom style="thin">
        <color theme="1"/>
      </bottom>
      <diagonal/>
    </border>
    <border>
      <left style="thin">
        <color indexed="64"/>
      </left>
      <right style="thin">
        <color indexed="64"/>
      </right>
      <top/>
      <bottom style="thin">
        <color indexed="64"/>
      </bottom>
      <diagonal/>
    </border>
    <border>
      <left style="thin">
        <color theme="1"/>
      </left>
      <right style="thin">
        <color indexed="64"/>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
    <xf numFmtId="0" fontId="0" fillId="0" borderId="0"/>
    <xf numFmtId="43" fontId="1" fillId="0" borderId="0" applyFont="0" applyFill="0" applyBorder="0" applyAlignment="0" applyProtection="0"/>
    <xf numFmtId="0" fontId="2" fillId="0" borderId="0"/>
    <xf numFmtId="165" fontId="2" fillId="0" borderId="0" applyFont="0" applyFill="0" applyBorder="0" applyAlignment="0" applyProtection="0"/>
  </cellStyleXfs>
  <cellXfs count="104">
    <xf numFmtId="0" fontId="0" fillId="0" borderId="0" xfId="0"/>
    <xf numFmtId="0" fontId="0" fillId="0" borderId="0" xfId="0" pivotButton="1"/>
    <xf numFmtId="0" fontId="0" fillId="0" borderId="0" xfId="0" applyAlignment="1">
      <alignment horizontal="left"/>
    </xf>
    <xf numFmtId="0" fontId="3" fillId="0" borderId="0" xfId="2" applyFont="1"/>
    <xf numFmtId="0" fontId="4" fillId="0" borderId="0" xfId="2" applyFont="1"/>
    <xf numFmtId="0" fontId="3" fillId="2" borderId="1" xfId="2" applyFont="1" applyFill="1" applyBorder="1" applyAlignment="1">
      <alignment horizontal="center" vertical="center"/>
    </xf>
    <xf numFmtId="0" fontId="5" fillId="0" borderId="2" xfId="2" applyFont="1" applyBorder="1"/>
    <xf numFmtId="0" fontId="4" fillId="0" borderId="1" xfId="2" applyFont="1" applyBorder="1" applyAlignment="1" applyProtection="1">
      <alignment horizontal="center"/>
      <protection locked="0"/>
    </xf>
    <xf numFmtId="0" fontId="4" fillId="0" borderId="1" xfId="2" applyFont="1" applyBorder="1" applyAlignment="1">
      <alignment horizontal="center"/>
    </xf>
    <xf numFmtId="0" fontId="4" fillId="0" borderId="1" xfId="2" applyFont="1" applyBorder="1"/>
    <xf numFmtId="0" fontId="4" fillId="0" borderId="1" xfId="2" applyFont="1" applyBorder="1" applyAlignment="1" applyProtection="1">
      <alignment horizontal="center" vertical="center" wrapText="1"/>
      <protection locked="0"/>
    </xf>
    <xf numFmtId="0" fontId="4" fillId="0" borderId="1" xfId="2" applyFont="1" applyBorder="1" applyAlignment="1">
      <alignment wrapText="1"/>
    </xf>
    <xf numFmtId="0" fontId="5" fillId="3" borderId="2" xfId="2" applyFont="1" applyFill="1" applyBorder="1"/>
    <xf numFmtId="0" fontId="4" fillId="3" borderId="1" xfId="2" applyFont="1" applyFill="1" applyBorder="1" applyAlignment="1" applyProtection="1">
      <alignment horizontal="center"/>
      <protection locked="0"/>
    </xf>
    <xf numFmtId="0" fontId="4" fillId="3" borderId="1" xfId="2" applyFont="1" applyFill="1" applyBorder="1" applyAlignment="1">
      <alignment horizontal="center"/>
    </xf>
    <xf numFmtId="0" fontId="4" fillId="3" borderId="1" xfId="2" applyFont="1" applyFill="1" applyBorder="1"/>
    <xf numFmtId="0" fontId="4" fillId="3" borderId="1" xfId="2" applyFont="1" applyFill="1" applyBorder="1" applyAlignment="1" applyProtection="1">
      <alignment horizontal="center" vertical="center" wrapText="1"/>
      <protection locked="0"/>
    </xf>
    <xf numFmtId="0" fontId="3" fillId="4" borderId="1" xfId="2" applyFont="1" applyFill="1" applyBorder="1" applyAlignment="1">
      <alignment horizontal="center" vertical="center"/>
    </xf>
    <xf numFmtId="0" fontId="4" fillId="0" borderId="1" xfId="2" applyFont="1" applyBorder="1" applyProtection="1">
      <protection locked="0"/>
    </xf>
    <xf numFmtId="0" fontId="4" fillId="0" borderId="1" xfId="2" applyFont="1" applyBorder="1" applyAlignment="1">
      <alignment horizontal="left"/>
    </xf>
    <xf numFmtId="0" fontId="4" fillId="0" borderId="1" xfId="2" applyFont="1" applyBorder="1" applyAlignment="1">
      <alignment horizontal="left" vertical="center" wrapText="1"/>
    </xf>
    <xf numFmtId="0" fontId="4" fillId="0" borderId="1" xfId="2" applyFont="1" applyBorder="1" applyAlignment="1">
      <alignment vertical="center"/>
    </xf>
    <xf numFmtId="0" fontId="4" fillId="0" borderId="1" xfId="2" applyFont="1" applyBorder="1" applyAlignment="1">
      <alignment horizontal="left" wrapText="1"/>
    </xf>
    <xf numFmtId="166" fontId="4" fillId="0" borderId="0" xfId="3" applyNumberFormat="1" applyFont="1"/>
    <xf numFmtId="0" fontId="4" fillId="0" borderId="6" xfId="2" applyFont="1" applyBorder="1" applyAlignment="1">
      <alignment horizontal="left" vertical="center" wrapText="1"/>
    </xf>
    <xf numFmtId="0" fontId="3" fillId="0" borderId="1" xfId="2" applyFont="1" applyBorder="1" applyAlignment="1" applyProtection="1">
      <alignment horizontal="center"/>
      <protection locked="0"/>
    </xf>
    <xf numFmtId="0" fontId="3" fillId="0" borderId="1" xfId="2" applyFont="1" applyBorder="1"/>
    <xf numFmtId="0" fontId="4" fillId="0" borderId="0" xfId="2" applyFont="1" applyAlignment="1">
      <alignment horizontal="left"/>
    </xf>
    <xf numFmtId="0" fontId="4" fillId="3" borderId="1" xfId="2" applyFont="1" applyFill="1" applyBorder="1" applyAlignment="1" applyProtection="1">
      <alignment horizontal="center" vertical="center"/>
      <protection locked="0"/>
    </xf>
    <xf numFmtId="0" fontId="4" fillId="0" borderId="6" xfId="2" applyFont="1" applyBorder="1" applyAlignment="1">
      <alignment horizontal="left" vertical="center" wrapText="1"/>
    </xf>
    <xf numFmtId="0" fontId="4" fillId="3" borderId="1" xfId="2" applyFont="1" applyFill="1" applyBorder="1" applyProtection="1">
      <protection locked="0"/>
    </xf>
    <xf numFmtId="0" fontId="0" fillId="0" borderId="0" xfId="0" applyNumberFormat="1"/>
    <xf numFmtId="0" fontId="4" fillId="0" borderId="6" xfId="2" applyFont="1" applyBorder="1" applyAlignment="1">
      <alignment horizontal="left" vertical="center" wrapText="1"/>
    </xf>
    <xf numFmtId="0" fontId="4" fillId="0" borderId="1" xfId="2" applyFont="1" applyBorder="1" applyAlignment="1" applyProtection="1">
      <alignment horizontal="center" vertical="center"/>
      <protection locked="0"/>
    </xf>
    <xf numFmtId="2" fontId="4" fillId="0" borderId="0" xfId="2" applyNumberFormat="1" applyFont="1"/>
    <xf numFmtId="0" fontId="0" fillId="0" borderId="0" xfId="0" applyAlignment="1">
      <alignment horizontal="center"/>
    </xf>
    <xf numFmtId="0" fontId="0" fillId="4" borderId="0" xfId="0" applyFill="1"/>
    <xf numFmtId="0" fontId="4" fillId="0" borderId="4" xfId="2" applyFont="1" applyBorder="1" applyAlignment="1">
      <alignment vertical="center" wrapText="1"/>
    </xf>
    <xf numFmtId="0" fontId="3" fillId="0" borderId="1" xfId="2" applyFont="1" applyBorder="1" applyAlignment="1">
      <alignment wrapText="1"/>
    </xf>
    <xf numFmtId="0" fontId="4" fillId="0" borderId="6" xfId="2" applyFont="1" applyBorder="1" applyAlignment="1">
      <alignment horizontal="left" vertical="center" wrapText="1"/>
    </xf>
    <xf numFmtId="0" fontId="4" fillId="0" borderId="1" xfId="2" applyFont="1" applyFill="1" applyBorder="1" applyAlignment="1">
      <alignment horizontal="left" vertical="center" wrapText="1"/>
    </xf>
    <xf numFmtId="0" fontId="4" fillId="0" borderId="6" xfId="2" applyFont="1" applyBorder="1" applyAlignment="1">
      <alignment horizontal="left" wrapText="1"/>
    </xf>
    <xf numFmtId="0" fontId="5" fillId="3" borderId="8" xfId="2" applyFont="1" applyFill="1" applyBorder="1" applyAlignment="1">
      <alignment horizontal="left" vertical="center"/>
    </xf>
    <xf numFmtId="0" fontId="4" fillId="0" borderId="1" xfId="2" applyFont="1" applyFill="1" applyBorder="1" applyAlignment="1">
      <alignment vertical="center" wrapText="1"/>
    </xf>
    <xf numFmtId="3" fontId="0" fillId="0" borderId="0" xfId="0" applyNumberFormat="1"/>
    <xf numFmtId="0" fontId="9" fillId="0" borderId="1" xfId="0" applyFont="1" applyBorder="1"/>
    <xf numFmtId="0" fontId="9" fillId="4" borderId="1" xfId="0" applyFont="1" applyFill="1" applyBorder="1" applyAlignment="1">
      <alignment wrapText="1"/>
    </xf>
    <xf numFmtId="0" fontId="0" fillId="0" borderId="1" xfId="0" applyBorder="1" applyAlignment="1">
      <alignment horizontal="center"/>
    </xf>
    <xf numFmtId="167" fontId="0" fillId="0" borderId="0" xfId="0" applyNumberFormat="1"/>
    <xf numFmtId="0" fontId="5" fillId="3" borderId="1" xfId="2" applyFont="1" applyFill="1" applyBorder="1"/>
    <xf numFmtId="0" fontId="0" fillId="3" borderId="0" xfId="0" applyFill="1"/>
    <xf numFmtId="0" fontId="0" fillId="5" borderId="0" xfId="0" applyFill="1"/>
    <xf numFmtId="0" fontId="0" fillId="5" borderId="0" xfId="0" applyFill="1" applyAlignment="1">
      <alignment horizontal="center"/>
    </xf>
    <xf numFmtId="0" fontId="4" fillId="0" borderId="6" xfId="2" applyFont="1" applyBorder="1" applyAlignment="1" applyProtection="1">
      <alignment horizontal="center" vertical="center"/>
      <protection locked="0"/>
    </xf>
    <xf numFmtId="0" fontId="0" fillId="0" borderId="0" xfId="0" applyFill="1"/>
    <xf numFmtId="164" fontId="0" fillId="0" borderId="0" xfId="1" applyNumberFormat="1" applyFont="1"/>
    <xf numFmtId="43" fontId="0" fillId="0" borderId="0" xfId="0" applyNumberFormat="1"/>
    <xf numFmtId="0" fontId="4" fillId="0" borderId="4" xfId="2" applyFont="1" applyBorder="1" applyAlignment="1" applyProtection="1">
      <alignment horizontal="center"/>
      <protection locked="0"/>
    </xf>
    <xf numFmtId="0" fontId="4" fillId="0" borderId="4" xfId="2" applyFont="1" applyFill="1" applyBorder="1" applyAlignment="1">
      <alignment horizontal="left" vertical="center" wrapText="1"/>
    </xf>
    <xf numFmtId="43" fontId="0" fillId="0" borderId="0" xfId="1" applyFont="1"/>
    <xf numFmtId="164" fontId="0" fillId="0" borderId="0" xfId="0" applyNumberFormat="1"/>
    <xf numFmtId="0" fontId="0" fillId="6" borderId="0" xfId="0" applyFill="1"/>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xf>
    <xf numFmtId="0" fontId="0" fillId="0" borderId="10" xfId="0" applyBorder="1"/>
    <xf numFmtId="0" fontId="9" fillId="0" borderId="10" xfId="0" applyFont="1" applyFill="1" applyBorder="1" applyAlignment="1">
      <alignment horizontal="left" vertical="top" indent="1"/>
    </xf>
    <xf numFmtId="0" fontId="11" fillId="6" borderId="0" xfId="0" applyFont="1" applyFill="1" applyAlignment="1">
      <alignment horizontal="left" vertical="top" indent="1"/>
    </xf>
    <xf numFmtId="0" fontId="5" fillId="3" borderId="1" xfId="2" applyFont="1" applyFill="1" applyBorder="1" applyAlignment="1">
      <alignment horizontal="left" vertical="center"/>
    </xf>
    <xf numFmtId="0" fontId="5" fillId="3" borderId="0" xfId="2" applyFont="1" applyFill="1" applyBorder="1"/>
    <xf numFmtId="0" fontId="9" fillId="0" borderId="0" xfId="0" applyFont="1"/>
    <xf numFmtId="0" fontId="0" fillId="0" borderId="0" xfId="0" applyFont="1"/>
    <xf numFmtId="0" fontId="12" fillId="4" borderId="11" xfId="0" applyFont="1" applyFill="1" applyBorder="1"/>
    <xf numFmtId="0" fontId="12" fillId="4" borderId="11" xfId="0" applyFont="1" applyFill="1" applyBorder="1" applyAlignment="1">
      <alignment horizontal="center"/>
    </xf>
    <xf numFmtId="0" fontId="13" fillId="4" borderId="11" xfId="0" applyFont="1" applyFill="1" applyBorder="1" applyAlignment="1">
      <alignment horizontal="center"/>
    </xf>
    <xf numFmtId="168" fontId="12" fillId="4" borderId="11" xfId="1" applyNumberFormat="1" applyFont="1" applyFill="1" applyBorder="1"/>
    <xf numFmtId="164" fontId="12" fillId="4" borderId="11" xfId="1" applyNumberFormat="1" applyFont="1" applyFill="1" applyBorder="1"/>
    <xf numFmtId="164" fontId="12" fillId="4" borderId="11" xfId="1" applyNumberFormat="1" applyFont="1" applyFill="1" applyBorder="1" applyAlignment="1">
      <alignment horizontal="center"/>
    </xf>
    <xf numFmtId="43" fontId="12" fillId="4" borderId="11" xfId="1" applyFont="1" applyFill="1" applyBorder="1" applyAlignment="1">
      <alignment horizontal="center"/>
    </xf>
    <xf numFmtId="168" fontId="12" fillId="4" borderId="11" xfId="0" applyNumberFormat="1" applyFont="1" applyFill="1" applyBorder="1"/>
    <xf numFmtId="169" fontId="12" fillId="4" borderId="11" xfId="1" applyNumberFormat="1" applyFont="1" applyFill="1" applyBorder="1"/>
    <xf numFmtId="43" fontId="12" fillId="4" borderId="11" xfId="1" applyFont="1" applyFill="1" applyBorder="1"/>
    <xf numFmtId="43" fontId="12" fillId="4" borderId="11" xfId="0" applyNumberFormat="1" applyFont="1" applyFill="1" applyBorder="1"/>
    <xf numFmtId="0" fontId="13" fillId="4" borderId="11" xfId="0" applyFont="1" applyFill="1" applyBorder="1"/>
    <xf numFmtId="164" fontId="13" fillId="4" borderId="11" xfId="1" applyNumberFormat="1" applyFont="1" applyFill="1" applyBorder="1"/>
    <xf numFmtId="0" fontId="4" fillId="0" borderId="1" xfId="2" applyFont="1" applyBorder="1" applyAlignment="1">
      <alignment horizontal="left" vertical="center" wrapText="1"/>
    </xf>
    <xf numFmtId="0" fontId="4" fillId="0" borderId="4" xfId="2" applyFont="1" applyBorder="1" applyAlignment="1">
      <alignment horizontal="left" vertical="center" wrapText="1"/>
    </xf>
    <xf numFmtId="0" fontId="4" fillId="0" borderId="6" xfId="2" applyFont="1" applyBorder="1" applyAlignment="1">
      <alignment horizontal="left" vertical="center" wrapText="1"/>
    </xf>
    <xf numFmtId="0" fontId="5" fillId="3" borderId="3" xfId="2" applyFont="1" applyFill="1" applyBorder="1" applyAlignment="1">
      <alignment horizontal="left" vertical="center"/>
    </xf>
    <xf numFmtId="0" fontId="5" fillId="3" borderId="7" xfId="2" applyFont="1" applyFill="1" applyBorder="1" applyAlignment="1">
      <alignment horizontal="left" vertical="center"/>
    </xf>
    <xf numFmtId="0" fontId="5" fillId="3" borderId="5" xfId="2" applyFont="1" applyFill="1" applyBorder="1" applyAlignment="1">
      <alignment horizontal="left" vertical="center"/>
    </xf>
    <xf numFmtId="0" fontId="4" fillId="3" borderId="4" xfId="2" applyFont="1" applyFill="1" applyBorder="1" applyAlignment="1" applyProtection="1">
      <alignment horizontal="center" vertical="center" wrapText="1"/>
      <protection locked="0"/>
    </xf>
    <xf numFmtId="0" fontId="4" fillId="3" borderId="6" xfId="2" applyFont="1" applyFill="1" applyBorder="1" applyAlignment="1" applyProtection="1">
      <alignment horizontal="center" vertical="center" wrapText="1"/>
      <protection locked="0"/>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4" fillId="0" borderId="1" xfId="2" applyFont="1" applyFill="1" applyBorder="1" applyAlignment="1">
      <alignment horizontal="left" vertical="center" wrapText="1"/>
    </xf>
    <xf numFmtId="0" fontId="6" fillId="0" borderId="1" xfId="2" applyFont="1" applyBorder="1" applyAlignment="1">
      <alignment horizontal="center"/>
    </xf>
    <xf numFmtId="0" fontId="4" fillId="3" borderId="1" xfId="2" applyFont="1" applyFill="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9"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center" vertical="center" wrapText="1"/>
    </xf>
    <xf numFmtId="0" fontId="12" fillId="4" borderId="11" xfId="0" applyFont="1" applyFill="1" applyBorder="1" applyProtection="1">
      <protection locked="0"/>
    </xf>
  </cellXfs>
  <cellStyles count="4">
    <cellStyle name="Comma" xfId="1" builtinId="3"/>
    <cellStyle name="Comma 2" xfId="3" xr:uid="{F8681645-4D6F-447E-8555-73A0240D7E0B}"/>
    <cellStyle name="Normal" xfId="0" builtinId="0"/>
    <cellStyle name="Normal 2" xfId="2" xr:uid="{AF758AC8-F7D4-44D2-BD19-729D4DE9F1DC}"/>
  </cellStyles>
  <dxfs count="111">
    <dxf>
      <numFmt numFmtId="35" formatCode="_ * #,##0.00_ ;_ * \-#,##0.00_ ;_ * &quot;-&quot;??_ ;_ @_ "/>
    </dxf>
    <dxf>
      <font>
        <b val="0"/>
        <i val="0"/>
        <strike val="0"/>
        <condense val="0"/>
        <extend val="0"/>
        <outline val="0"/>
        <shadow val="0"/>
        <u val="none"/>
        <vertAlign val="baseline"/>
        <sz val="11"/>
        <color theme="1"/>
        <name val="Calibri"/>
        <family val="2"/>
        <scheme val="minor"/>
      </font>
      <numFmt numFmtId="164" formatCode="_ * #,##0_ ;_ * \-#,##0_ ;_ * &quot;-&quot;??_ ;_ @_ "/>
    </dxf>
    <dxf>
      <numFmt numFmtId="167" formatCode="0.000000"/>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solid">
          <fgColor indexed="64"/>
          <bgColor rgb="FFFFFF00"/>
        </patternFill>
      </fill>
    </dxf>
    <dxf>
      <fill>
        <patternFill patternType="none">
          <fgColor indexed="64"/>
          <bgColor auto="1"/>
        </patternFill>
      </fill>
    </dxf>
    <dxf>
      <numFmt numFmtId="0" formatCode="Genera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color theme="1"/>
      </font>
      <border>
        <bottom style="thin">
          <color theme="4"/>
        </bottom>
        <vertical/>
        <horizontal/>
      </border>
    </dxf>
    <dxf>
      <font>
        <b/>
        <i val="0"/>
        <sz val="9"/>
        <color theme="1"/>
      </font>
      <fill>
        <gradientFill degree="270">
          <stop position="0">
            <color theme="0"/>
          </stop>
          <stop position="1">
            <color theme="4"/>
          </stop>
        </gradientFill>
      </fill>
      <border diagonalUp="0" diagonalDown="0">
        <left/>
        <right/>
        <top/>
        <bottom/>
        <vertical/>
        <horizontal/>
      </border>
    </dxf>
    <dxf>
      <border diagonalUp="0" diagonalDown="0">
        <left/>
        <right/>
        <top/>
        <bottom/>
        <vertical/>
        <horizontal/>
      </border>
    </dxf>
    <dxf>
      <font>
        <b/>
        <color theme="1"/>
      </font>
      <border>
        <bottom style="thin">
          <color theme="9"/>
        </bottom>
        <vertical/>
        <horizontal/>
      </border>
    </dxf>
    <dxf>
      <font>
        <color theme="1"/>
      </font>
      <border diagonalUp="0" diagonalDown="0">
        <left/>
        <right/>
        <top/>
        <bottom/>
        <vertical/>
        <horizontal/>
      </border>
    </dxf>
    <dxf>
      <font>
        <b/>
        <color theme="1"/>
      </font>
      <border>
        <bottom style="thin">
          <color theme="4"/>
        </bottom>
        <vertical/>
        <horizontal/>
      </border>
    </dxf>
    <dxf>
      <font>
        <b/>
        <i val="0"/>
        <sz val="12"/>
        <color theme="1"/>
        <name val="Adani Regular"/>
        <scheme val="none"/>
      </font>
      <border diagonalUp="0" diagonalDown="0">
        <left/>
        <right/>
        <top/>
        <bottom/>
        <vertical/>
        <horizontal/>
      </border>
    </dxf>
    <dxf>
      <font>
        <b/>
        <color theme="1"/>
      </font>
      <border>
        <bottom style="thin">
          <color theme="4"/>
        </bottom>
        <vertical/>
        <horizontal/>
      </border>
    </dxf>
    <dxf>
      <font>
        <b/>
        <i val="0"/>
        <sz val="9"/>
        <color theme="1"/>
      </font>
      <border diagonalUp="0" diagonalDown="0">
        <left/>
        <right/>
        <top/>
        <bottom/>
        <vertical/>
        <horizontal/>
      </border>
    </dxf>
  </dxfs>
  <tableStyles count="5" defaultTableStyle="TableStyleMedium2" defaultPivotStyle="PivotStyleLight16">
    <tableStyle name="Global 1" pivot="0" table="0" count="10" xr9:uid="{F990E70F-EEF9-4AE8-B6F0-1B0A60879A65}">
      <tableStyleElement type="wholeTable" dxfId="110"/>
      <tableStyleElement type="headerRow" dxfId="109"/>
    </tableStyle>
    <tableStyle name="PORTS" pivot="0" table="0" count="10" xr9:uid="{39A615B5-BF24-4854-9DF6-6B7B439589BF}">
      <tableStyleElement type="wholeTable" dxfId="108"/>
      <tableStyleElement type="headerRow" dxfId="107"/>
    </tableStyle>
    <tableStyle name="Ports &amp; Terminals" pivot="0" table="0" count="10" xr9:uid="{14AA6683-B946-4631-966A-24C6A5863832}">
      <tableStyleElement type="wholeTable" dxfId="106"/>
      <tableStyleElement type="headerRow" dxfId="105"/>
    </tableStyle>
    <tableStyle name="Slicer Style 1" pivot="0" table="0" count="1" xr9:uid="{D3038AAF-9951-4ED1-96F8-5AD0F455E85B}">
      <tableStyleElement type="wholeTable" dxfId="104"/>
    </tableStyle>
    <tableStyle name="Tariff Calc2" pivot="0" table="0" count="10" xr9:uid="{4EE7E286-DFC4-4011-997D-B79FE8E1A2FB}">
      <tableStyleElement type="wholeTable" dxfId="103"/>
      <tableStyleElement type="headerRow" dxfId="102"/>
    </tableStyle>
  </tableStyle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4"/>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b val="0"/>
            <i val="0"/>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Global 1">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PORT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Ports &amp; Terminals">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 Style 1"/>
        <x14:slicerStyle name="Tariff Calc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07/relationships/slicerCache" Target="slicerCaches/slicerCache2.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5.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microsoft.com/office/2007/relationships/slicerCache" Target="slicerCaches/slicerCache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theme" Target="theme/theme1.xml"/><Relationship Id="rId10" Type="http://schemas.openxmlformats.org/officeDocument/2006/relationships/worksheet" Target="worksheets/sheet10.xml"/><Relationship Id="rId19" Type="http://schemas.microsoft.com/office/2007/relationships/slicerCache" Target="slicerCaches/slicerCache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microsoft.com/office/2007/relationships/slicerCache" Target="slicerCaches/slicerCache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F9A-48D6-BB88-699C7030B4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F9A-48D6-BB88-699C7030B4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F9A-48D6-BB88-699C7030B4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F9A-48D6-BB88-699C7030B4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F9A-48D6-BB88-699C7030B4A1}"/>
              </c:ext>
            </c:extLst>
          </c:dPt>
          <c:dLbls>
            <c:dLbl>
              <c:idx val="4"/>
              <c:layout>
                <c:manualLayout>
                  <c:x val="-0.28813528615998707"/>
                  <c:y val="5.828001538314828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F9A-48D6-BB88-699C7030B4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newCalc!$F$92:$F$96</c:f>
              <c:strCache>
                <c:ptCount val="5"/>
                <c:pt idx="0">
                  <c:v>Port Dues</c:v>
                </c:pt>
                <c:pt idx="1">
                  <c:v>Pilotage</c:v>
                </c:pt>
                <c:pt idx="2">
                  <c:v>Berth Hire</c:v>
                </c:pt>
                <c:pt idx="3">
                  <c:v>Mooring</c:v>
                </c:pt>
                <c:pt idx="4">
                  <c:v>Port Env &amp; Safety</c:v>
                </c:pt>
              </c:strCache>
            </c:strRef>
          </c:cat>
          <c:val>
            <c:numRef>
              <c:f>newCalc!$M$92:$M$96</c:f>
              <c:numCache>
                <c:formatCode>_ * #,##0_ ;_ * \-#,##0_ ;_ * "-"??_ ;_ @_ </c:formatCode>
                <c:ptCount val="5"/>
                <c:pt idx="0">
                  <c:v>2004.6599999999999</c:v>
                </c:pt>
                <c:pt idx="1">
                  <c:v>73004.7</c:v>
                </c:pt>
                <c:pt idx="2">
                  <c:v>720</c:v>
                </c:pt>
                <c:pt idx="3">
                  <c:v>1284.6400000000001</c:v>
                </c:pt>
                <c:pt idx="4" formatCode="_ * #,##0.0000_ ;_ * \-#,##0.0000_ ;_ * &quot;-&quot;??_ ;_ @_ ">
                  <c:v>350</c:v>
                </c:pt>
              </c:numCache>
            </c:numRef>
          </c:val>
          <c:extLst>
            <c:ext xmlns:c16="http://schemas.microsoft.com/office/drawing/2014/chart" uri="{C3380CC4-5D6E-409C-BE32-E72D297353CC}">
              <c16:uniqueId val="{00000000-263E-4BA2-B36A-9D006D291308}"/>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94869615636039E-2"/>
          <c:y val="0.16575433963133288"/>
          <c:w val="0.97210260768727919"/>
          <c:h val="0.60805662825424367"/>
        </c:manualLayout>
      </c:layout>
      <c:barChart>
        <c:barDir val="col"/>
        <c:grouping val="clustered"/>
        <c:varyColors val="0"/>
        <c:ser>
          <c:idx val="0"/>
          <c:order val="0"/>
          <c:tx>
            <c:strRef>
              <c:f>AllPorts!$R$1</c:f>
              <c:strCache>
                <c:ptCount val="1"/>
                <c:pt idx="0">
                  <c:v>VRC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AllPorts!$O$2:$Q$9</c15:sqref>
                  </c15:fullRef>
                  <c15:levelRef>
                    <c15:sqref>AllPorts!$O$2:$O$9</c15:sqref>
                  </c15:levelRef>
                </c:ext>
              </c:extLst>
              <c:f>AllPorts!$O$2:$O$9</c:f>
              <c:strCache>
                <c:ptCount val="8"/>
                <c:pt idx="0">
                  <c:v>MUNDRA</c:v>
                </c:pt>
                <c:pt idx="1">
                  <c:v>HAZIRA</c:v>
                </c:pt>
                <c:pt idx="2">
                  <c:v>DAHEJ</c:v>
                </c:pt>
                <c:pt idx="3">
                  <c:v>DHAMRA</c:v>
                </c:pt>
                <c:pt idx="4">
                  <c:v>KATTUPALLI</c:v>
                </c:pt>
                <c:pt idx="5">
                  <c:v>KPCL</c:v>
                </c:pt>
                <c:pt idx="6">
                  <c:v>DIGHI</c:v>
                </c:pt>
                <c:pt idx="7">
                  <c:v>GPL</c:v>
                </c:pt>
              </c:strCache>
            </c:strRef>
          </c:cat>
          <c:val>
            <c:numRef>
              <c:f>AllPorts!$R$2:$R$9</c:f>
              <c:numCache>
                <c:formatCode>_(* #,##0.00_);_(* \(#,##0.00\);_(* "-"??_);_(@_)</c:formatCode>
                <c:ptCount val="8"/>
                <c:pt idx="0">
                  <c:v>0.25999050000000001</c:v>
                </c:pt>
                <c:pt idx="1">
                  <c:v>0.30940679999999998</c:v>
                </c:pt>
                <c:pt idx="2">
                  <c:v>0.34764855</c:v>
                </c:pt>
                <c:pt idx="3">
                  <c:v>0.58023000000000002</c:v>
                </c:pt>
                <c:pt idx="4">
                  <c:v>0.21983250000000001</c:v>
                </c:pt>
                <c:pt idx="5">
                  <c:v>0.36599729999999991</c:v>
                </c:pt>
                <c:pt idx="6">
                  <c:v>0.40581149999999999</c:v>
                </c:pt>
                <c:pt idx="7">
                  <c:v>0.39674999999999999</c:v>
                </c:pt>
              </c:numCache>
            </c:numRef>
          </c:val>
          <c:extLst>
            <c:ext xmlns:c16="http://schemas.microsoft.com/office/drawing/2014/chart" uri="{C3380CC4-5D6E-409C-BE32-E72D297353CC}">
              <c16:uniqueId val="{00000000-E7C3-4631-BBF0-F82A1093169F}"/>
            </c:ext>
          </c:extLst>
        </c:ser>
        <c:dLbls>
          <c:dLblPos val="outEnd"/>
          <c:showLegendKey val="0"/>
          <c:showVal val="1"/>
          <c:showCatName val="0"/>
          <c:showSerName val="0"/>
          <c:showPercent val="0"/>
          <c:showBubbleSize val="0"/>
        </c:dLbls>
        <c:gapWidth val="219"/>
        <c:overlap val="-27"/>
        <c:axId val="451963823"/>
        <c:axId val="451982543"/>
      </c:barChart>
      <c:catAx>
        <c:axId val="45196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451982543"/>
        <c:crosses val="autoZero"/>
        <c:auto val="1"/>
        <c:lblAlgn val="ctr"/>
        <c:lblOffset val="100"/>
        <c:noMultiLvlLbl val="0"/>
      </c:catAx>
      <c:valAx>
        <c:axId val="451982543"/>
        <c:scaling>
          <c:orientation val="minMax"/>
        </c:scaling>
        <c:delete val="1"/>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crossAx val="4519638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ControlPanel!$D$3" horiz="1" max="30000" page="16" val="3700"/>
</file>

<file path=xl/ctrlProps/ctrlProp2.xml><?xml version="1.0" encoding="utf-8"?>
<formControlPr xmlns="http://schemas.microsoft.com/office/spreadsheetml/2009/9/main" objectType="Scroll" dx="22" fmlaLink="newCalc!$G$10" horiz="1" max="1000" page="10"/>
</file>

<file path=xl/ctrlProps/ctrlProp3.xml><?xml version="1.0" encoding="utf-8"?>
<formControlPr xmlns="http://schemas.microsoft.com/office/spreadsheetml/2009/9/main" objectType="Scroll" dx="22" fmlaLink="newCalc!$G$14" horiz="1" max="100" page="10" val="75"/>
</file>

<file path=xl/ctrlProps/ctrlProp4.xml><?xml version="1.0" encoding="utf-8"?>
<formControlPr xmlns="http://schemas.microsoft.com/office/spreadsheetml/2009/9/main" objectType="CheckBox" fmlaLink="$B$101"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47625</xdr:colOff>
      <xdr:row>0</xdr:row>
      <xdr:rowOff>0</xdr:rowOff>
    </xdr:from>
    <xdr:to>
      <xdr:col>21</xdr:col>
      <xdr:colOff>27107</xdr:colOff>
      <xdr:row>26</xdr:row>
      <xdr:rowOff>46290</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47625" y="0"/>
          <a:ext cx="15329549" cy="5016223"/>
          <a:chOff x="47625" y="0"/>
          <a:chExt cx="15291449" cy="5027865"/>
        </a:xfrm>
      </xdr:grpSpPr>
      <xdr:pic>
        <xdr:nvPicPr>
          <xdr:cNvPr id="56" name="Picture 55" descr="Adani Ports">
            <a:extLst>
              <a:ext uri="{FF2B5EF4-FFF2-40B4-BE49-F238E27FC236}">
                <a16:creationId xmlns:a16="http://schemas.microsoft.com/office/drawing/2014/main" id="{00000000-0008-0000-0C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2366433" cy="581025"/>
          </a:xfrm>
          <a:prstGeom prst="rect">
            <a:avLst/>
          </a:prstGeom>
          <a:noFill/>
          <a:extLst>
            <a:ext uri="{909E8E84-426E-40DD-AFC4-6F175D3DCCD1}">
              <a14:hiddenFill xmlns:a14="http://schemas.microsoft.com/office/drawing/2010/main">
                <a:solidFill>
                  <a:srgbClr val="FFFFFF"/>
                </a:solidFill>
              </a14:hiddenFill>
            </a:ext>
          </a:extLst>
        </xdr:spPr>
      </xdr:pic>
      <mc:AlternateContent xmlns:mc="http://schemas.openxmlformats.org/markup-compatibility/2006" xmlns:a14="http://schemas.microsoft.com/office/drawing/2010/main">
        <mc:Choice Requires="a14">
          <xdr:graphicFrame macro="">
            <xdr:nvGraphicFramePr>
              <xdr:cNvPr id="4" name="VESSEL TYPE">
                <a:extLst>
                  <a:ext uri="{FF2B5EF4-FFF2-40B4-BE49-F238E27FC236}">
                    <a16:creationId xmlns:a16="http://schemas.microsoft.com/office/drawing/2014/main" id="{00000000-0008-0000-0C00-000004000000}"/>
                  </a:ext>
                </a:extLst>
              </xdr:cNvPr>
              <xdr:cNvGraphicFramePr>
                <a:graphicFrameLocks noMove="1" noResize="1"/>
              </xdr:cNvGraphicFramePr>
            </xdr:nvGraphicFramePr>
            <xdr:xfrm>
              <a:off x="57150" y="1439332"/>
              <a:ext cx="2381300" cy="959908"/>
            </xdr:xfrm>
            <a:graphic>
              <a:graphicData uri="http://schemas.microsoft.com/office/drawing/2010/slicer">
                <sle:slicer xmlns:sle="http://schemas.microsoft.com/office/drawing/2010/slicer" name="VESSEL TYPE"/>
              </a:graphicData>
            </a:graphic>
          </xdr:graphicFrame>
        </mc:Choice>
        <mc:Fallback xmlns="">
          <xdr:sp macro="" textlink="">
            <xdr:nvSpPr>
              <xdr:cNvPr id="0" name=""/>
              <xdr:cNvSpPr>
                <a:spLocks noTextEdit="1"/>
              </xdr:cNvSpPr>
            </xdr:nvSpPr>
            <xdr:spPr>
              <a:xfrm>
                <a:off x="57174" y="1435999"/>
                <a:ext cx="2387233" cy="95768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aphicFrame macro="">
        <xdr:nvGraphicFramePr>
          <xdr:cNvPr id="12" name="Chart 11">
            <a:extLst>
              <a:ext uri="{FF2B5EF4-FFF2-40B4-BE49-F238E27FC236}">
                <a16:creationId xmlns:a16="http://schemas.microsoft.com/office/drawing/2014/main" id="{00000000-0008-0000-0C00-00000C000000}"/>
              </a:ext>
            </a:extLst>
          </xdr:cNvPr>
          <xdr:cNvGraphicFramePr/>
        </xdr:nvGraphicFramePr>
        <xdr:xfrm>
          <a:off x="9248511" y="960438"/>
          <a:ext cx="3360471" cy="2255838"/>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5" name="Group 4">
            <a:extLst>
              <a:ext uri="{FF2B5EF4-FFF2-40B4-BE49-F238E27FC236}">
                <a16:creationId xmlns:a16="http://schemas.microsoft.com/office/drawing/2014/main" id="{00000000-0008-0000-0C00-000005000000}"/>
              </a:ext>
            </a:extLst>
          </xdr:cNvPr>
          <xdr:cNvGrpSpPr/>
        </xdr:nvGrpSpPr>
        <xdr:grpSpPr>
          <a:xfrm>
            <a:off x="3015985" y="708477"/>
            <a:ext cx="2255029" cy="2491923"/>
            <a:chOff x="2654035" y="708477"/>
            <a:chExt cx="2255029" cy="2491923"/>
          </a:xfrm>
        </xdr:grpSpPr>
        <xdr:sp macro="" textlink="$A$94">
          <xdr:nvSpPr>
            <xdr:cNvPr id="60" name="Rectangle 59">
              <a:extLst>
                <a:ext uri="{FF2B5EF4-FFF2-40B4-BE49-F238E27FC236}">
                  <a16:creationId xmlns:a16="http://schemas.microsoft.com/office/drawing/2014/main" id="{00000000-0008-0000-0C00-00003C000000}"/>
                </a:ext>
              </a:extLst>
            </xdr:cNvPr>
            <xdr:cNvSpPr/>
          </xdr:nvSpPr>
          <xdr:spPr>
            <a:xfrm>
              <a:off x="2654035" y="1649913"/>
              <a:ext cx="1185982" cy="352484"/>
            </a:xfrm>
            <a:prstGeom prst="rect">
              <a:avLst/>
            </a:prstGeom>
            <a:solidFill>
              <a:schemeClr val="bg1">
                <a:lumMod val="85000"/>
              </a:schemeClr>
            </a:solidFill>
            <a:ln>
              <a:noFill/>
            </a:ln>
          </xdr:spPr>
          <xdr:style>
            <a:lnRef idx="2">
              <a:schemeClr val="dk1"/>
            </a:lnRef>
            <a:fillRef idx="1">
              <a:schemeClr val="lt1"/>
            </a:fillRef>
            <a:effectRef idx="0">
              <a:schemeClr val="dk1"/>
            </a:effectRef>
            <a:fontRef idx="minor">
              <a:schemeClr val="dk1"/>
            </a:fontRef>
          </xdr:style>
          <xdr:txBody>
            <a:bodyPr spcFirstLastPara="0" vert="horz" wrap="square" lIns="149789" tIns="28821" rIns="149789" bIns="28821" numCol="1" spcCol="1270" anchor="ctr" anchorCtr="0">
              <a:noAutofit/>
            </a:bodyPr>
            <a:lstStyle/>
            <a:p>
              <a:pPr marL="0" lvl="0" indent="0" algn="ctr" defTabSz="889000">
                <a:lnSpc>
                  <a:spcPct val="90000"/>
                </a:lnSpc>
                <a:spcBef>
                  <a:spcPct val="0"/>
                </a:spcBef>
                <a:spcAft>
                  <a:spcPct val="35000"/>
                </a:spcAft>
                <a:buNone/>
              </a:pPr>
              <a:fld id="{725ADF97-BAF7-4094-8187-F3C28468AC9B}" type="TxLink">
                <a:rPr lang="en-US" sz="1400" b="1" i="0" u="none" strike="noStrike" kern="1200">
                  <a:solidFill>
                    <a:srgbClr val="000000"/>
                  </a:solidFill>
                  <a:latin typeface="Adani Regular" panose="02000503000000020004" pitchFamily="2" charset="0"/>
                  <a:ea typeface="+mn-ea"/>
                  <a:cs typeface="Calibri"/>
                </a:rPr>
                <a:pPr marL="0" lvl="0" indent="0" algn="ctr" defTabSz="889000">
                  <a:lnSpc>
                    <a:spcPct val="90000"/>
                  </a:lnSpc>
                  <a:spcBef>
                    <a:spcPct val="0"/>
                  </a:spcBef>
                  <a:spcAft>
                    <a:spcPct val="35000"/>
                  </a:spcAft>
                  <a:buNone/>
                </a:pPr>
                <a:t>Berth Hrs.</a:t>
              </a:fld>
              <a:endParaRPr lang="en-US" sz="1400" b="1" i="0" u="none" strike="noStrike" kern="1200">
                <a:solidFill>
                  <a:srgbClr val="000000"/>
                </a:solidFill>
                <a:latin typeface="Adani Regular" panose="02000503000000020004" pitchFamily="2" charset="0"/>
                <a:ea typeface="+mn-ea"/>
                <a:cs typeface="Calibri"/>
              </a:endParaRPr>
            </a:p>
          </xdr:txBody>
        </xdr:sp>
        <mc:AlternateContent xmlns:mc="http://schemas.openxmlformats.org/markup-compatibility/2006">
          <mc:Choice xmlns:a14="http://schemas.microsoft.com/office/drawing/2010/main" Requires="a14">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C00-000001040000}"/>
                    </a:ext>
                  </a:extLst>
                </xdr:cNvPr>
                <xdr:cNvSpPr/>
              </xdr:nvSpPr>
              <xdr:spPr bwMode="auto">
                <a:xfrm>
                  <a:off x="2657474" y="1104902"/>
                  <a:ext cx="2251590" cy="228600"/>
                </a:xfrm>
                <a:prstGeom prst="rect">
                  <a:avLst/>
                </a:prstGeom>
                <a:noFill/>
                <a:ln w="9525">
                  <a:miter lim="800000"/>
                  <a:headEnd/>
                  <a:tailEnd/>
                </a:ln>
              </xdr:spPr>
            </xdr:sp>
          </mc:Choice>
          <mc:Fallback/>
        </mc:AlternateContent>
        <xdr:sp macro="" textlink="$A$93">
          <xdr:nvSpPr>
            <xdr:cNvPr id="59" name="Rectangle 58">
              <a:extLst>
                <a:ext uri="{FF2B5EF4-FFF2-40B4-BE49-F238E27FC236}">
                  <a16:creationId xmlns:a16="http://schemas.microsoft.com/office/drawing/2014/main" id="{00000000-0008-0000-0C00-00003B000000}"/>
                </a:ext>
              </a:extLst>
            </xdr:cNvPr>
            <xdr:cNvSpPr/>
          </xdr:nvSpPr>
          <xdr:spPr>
            <a:xfrm>
              <a:off x="2654035" y="708477"/>
              <a:ext cx="1185982" cy="350010"/>
            </a:xfrm>
            <a:prstGeom prst="rect">
              <a:avLst/>
            </a:prstGeom>
            <a:solidFill>
              <a:schemeClr val="bg1">
                <a:lumMod val="85000"/>
              </a:schemeClr>
            </a:solidFill>
            <a:ln>
              <a:noFill/>
            </a:ln>
          </xdr:spPr>
          <xdr:style>
            <a:lnRef idx="2">
              <a:schemeClr val="dk1"/>
            </a:lnRef>
            <a:fillRef idx="1">
              <a:schemeClr val="lt1"/>
            </a:fillRef>
            <a:effectRef idx="0">
              <a:schemeClr val="dk1"/>
            </a:effectRef>
            <a:fontRef idx="minor">
              <a:schemeClr val="dk1"/>
            </a:fontRef>
          </xdr:style>
          <xdr:txBody>
            <a:bodyPr spcFirstLastPara="0" vert="horz" wrap="square" lIns="149789" tIns="28821" rIns="149789" bIns="28821" numCol="1" spcCol="1270" anchor="ctr" anchorCtr="0">
              <a:noAutofit/>
            </a:bodyPr>
            <a:lstStyle/>
            <a:p>
              <a:pPr marL="0" lvl="0" indent="0" algn="ctr" defTabSz="889000">
                <a:lnSpc>
                  <a:spcPct val="90000"/>
                </a:lnSpc>
                <a:spcBef>
                  <a:spcPct val="0"/>
                </a:spcBef>
                <a:spcAft>
                  <a:spcPct val="35000"/>
                </a:spcAft>
                <a:buNone/>
              </a:pPr>
              <a:fld id="{C13AEE81-F950-44FA-A0E8-5335C319E3FC}" type="TxLink">
                <a:rPr lang="en-US" sz="1400" b="1" i="0" u="none" strike="noStrike" kern="1200">
                  <a:solidFill>
                    <a:srgbClr val="000000"/>
                  </a:solidFill>
                  <a:latin typeface="Adani Regular" panose="02000503000000020004" pitchFamily="2" charset="0"/>
                  <a:ea typeface="+mn-ea"/>
                  <a:cs typeface="Calibri"/>
                </a:rPr>
                <a:pPr marL="0" lvl="0" indent="0" algn="ctr" defTabSz="889000">
                  <a:lnSpc>
                    <a:spcPct val="90000"/>
                  </a:lnSpc>
                  <a:spcBef>
                    <a:spcPct val="0"/>
                  </a:spcBef>
                  <a:spcAft>
                    <a:spcPct val="35000"/>
                  </a:spcAft>
                  <a:buNone/>
                </a:pPr>
                <a:t>Vessel GT</a:t>
              </a:fld>
              <a:endParaRPr lang="en-US" sz="1400" b="1" i="0" u="none" strike="noStrike" kern="1200">
                <a:solidFill>
                  <a:srgbClr val="000000"/>
                </a:solidFill>
                <a:latin typeface="Adani Regular" panose="02000503000000020004" pitchFamily="2" charset="0"/>
                <a:ea typeface="+mn-ea"/>
                <a:cs typeface="Calibri"/>
              </a:endParaRPr>
            </a:p>
          </xdr:txBody>
        </xdr:sp>
        <mc:AlternateContent xmlns:mc="http://schemas.openxmlformats.org/markup-compatibility/2006">
          <mc:Choice xmlns:a14="http://schemas.microsoft.com/office/drawing/2010/main" Requires="a14">
            <xdr:sp macro="" textlink="">
              <xdr:nvSpPr>
                <xdr:cNvPr id="1026" name="Scroll Bar 2" hidden="1">
                  <a:extLst>
                    <a:ext uri="{63B3BB69-23CF-44E3-9099-C40C66FF867C}">
                      <a14:compatExt spid="_x0000_s1026"/>
                    </a:ext>
                    <a:ext uri="{FF2B5EF4-FFF2-40B4-BE49-F238E27FC236}">
                      <a16:creationId xmlns:a16="http://schemas.microsoft.com/office/drawing/2014/main" id="{00000000-0008-0000-0C00-000002040000}"/>
                    </a:ext>
                  </a:extLst>
                </xdr:cNvPr>
                <xdr:cNvSpPr/>
              </xdr:nvSpPr>
              <xdr:spPr bwMode="auto">
                <a:xfrm>
                  <a:off x="2657474" y="2038350"/>
                  <a:ext cx="2251590" cy="228600"/>
                </a:xfrm>
                <a:prstGeom prst="rect">
                  <a:avLst/>
                </a:prstGeom>
                <a:noFill/>
                <a:ln w="9525">
                  <a:miter lim="800000"/>
                  <a:headEnd/>
                  <a:tailEnd/>
                </a:ln>
              </xdr:spPr>
            </xdr:sp>
          </mc:Choice>
          <mc:Fallback/>
        </mc:AlternateContent>
        <mc:AlternateContent xmlns:mc="http://schemas.openxmlformats.org/markup-compatibility/2006">
          <mc:Choice xmlns:a14="http://schemas.microsoft.com/office/drawing/2010/main" Requires="a14">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C00-000003040000}"/>
                    </a:ext>
                  </a:extLst>
                </xdr:cNvPr>
                <xdr:cNvSpPr/>
              </xdr:nvSpPr>
              <xdr:spPr bwMode="auto">
                <a:xfrm>
                  <a:off x="2657474" y="2971800"/>
                  <a:ext cx="2251590" cy="228600"/>
                </a:xfrm>
                <a:prstGeom prst="rect">
                  <a:avLst/>
                </a:prstGeom>
                <a:noFill/>
                <a:ln w="9525">
                  <a:miter lim="800000"/>
                  <a:headEnd/>
                  <a:tailEnd/>
                </a:ln>
              </xdr:spPr>
            </xdr:sp>
          </mc:Choice>
          <mc:Fallback/>
        </mc:AlternateContent>
        <xdr:sp macro="" textlink="$A$95">
          <xdr:nvSpPr>
            <xdr:cNvPr id="61" name="Rectangle 60">
              <a:extLst>
                <a:ext uri="{FF2B5EF4-FFF2-40B4-BE49-F238E27FC236}">
                  <a16:creationId xmlns:a16="http://schemas.microsoft.com/office/drawing/2014/main" id="{00000000-0008-0000-0C00-00003D000000}"/>
                </a:ext>
              </a:extLst>
            </xdr:cNvPr>
            <xdr:cNvSpPr/>
          </xdr:nvSpPr>
          <xdr:spPr>
            <a:xfrm>
              <a:off x="2654035" y="2592920"/>
              <a:ext cx="1187791" cy="350010"/>
            </a:xfrm>
            <a:prstGeom prst="rect">
              <a:avLst/>
            </a:prstGeom>
            <a:solidFill>
              <a:schemeClr val="bg1">
                <a:lumMod val="85000"/>
              </a:schemeClr>
            </a:solidFill>
            <a:ln>
              <a:noFill/>
            </a:ln>
          </xdr:spPr>
          <xdr:style>
            <a:lnRef idx="2">
              <a:schemeClr val="dk1"/>
            </a:lnRef>
            <a:fillRef idx="1">
              <a:schemeClr val="lt1"/>
            </a:fillRef>
            <a:effectRef idx="0">
              <a:schemeClr val="dk1"/>
            </a:effectRef>
            <a:fontRef idx="minor">
              <a:schemeClr val="dk1"/>
            </a:fontRef>
          </xdr:style>
          <xdr:txBody>
            <a:bodyPr spcFirstLastPara="0" vert="horz" wrap="square" lIns="149789" tIns="28821" rIns="149789" bIns="28821" numCol="1" spcCol="1270" anchor="ctr" anchorCtr="0">
              <a:noAutofit/>
            </a:bodyPr>
            <a:lstStyle/>
            <a:p>
              <a:pPr marL="0" lvl="0" indent="0" algn="ctr" defTabSz="889000">
                <a:lnSpc>
                  <a:spcPct val="90000"/>
                </a:lnSpc>
                <a:spcBef>
                  <a:spcPct val="0"/>
                </a:spcBef>
                <a:spcAft>
                  <a:spcPct val="35000"/>
                </a:spcAft>
                <a:buNone/>
              </a:pPr>
              <a:fld id="{BCC5D012-A14A-42EF-B20D-1B8BBFACFAFD}" type="TxLink">
                <a:rPr lang="en-US" sz="1400" b="1" i="0" u="none" strike="noStrike" kern="1200">
                  <a:solidFill>
                    <a:srgbClr val="000000"/>
                  </a:solidFill>
                  <a:latin typeface="Adani Regular" panose="02000503000000020004" pitchFamily="2" charset="0"/>
                  <a:ea typeface="+mn-ea"/>
                  <a:cs typeface="Calibri"/>
                </a:rPr>
                <a:pPr marL="0" lvl="0" indent="0" algn="ctr" defTabSz="889000">
                  <a:lnSpc>
                    <a:spcPct val="90000"/>
                  </a:lnSpc>
                  <a:spcBef>
                    <a:spcPct val="0"/>
                  </a:spcBef>
                  <a:spcAft>
                    <a:spcPct val="35000"/>
                  </a:spcAft>
                  <a:buNone/>
                </a:pPr>
                <a:t>USD Rate</a:t>
              </a:fld>
              <a:endParaRPr lang="en-US" sz="1400" b="1" i="0" u="none" strike="noStrike" kern="1200">
                <a:solidFill>
                  <a:srgbClr val="000000"/>
                </a:solidFill>
                <a:latin typeface="Adani Regular" panose="02000503000000020004" pitchFamily="2" charset="0"/>
                <a:ea typeface="+mn-ea"/>
                <a:cs typeface="Calibri"/>
              </a:endParaRPr>
            </a:p>
          </xdr:txBody>
        </xdr:sp>
      </xdr:grpSp>
      <mc:AlternateContent xmlns:mc="http://schemas.openxmlformats.org/markup-compatibility/2006" xmlns:a14="http://schemas.microsoft.com/office/drawing/2010/main">
        <mc:Choice Requires="a14">
          <xdr:graphicFrame macro="">
            <xdr:nvGraphicFramePr>
              <xdr:cNvPr id="75" name="VESSEL RUN">
                <a:extLst>
                  <a:ext uri="{FF2B5EF4-FFF2-40B4-BE49-F238E27FC236}">
                    <a16:creationId xmlns:a16="http://schemas.microsoft.com/office/drawing/2014/main" id="{00000000-0008-0000-0C00-00004B000000}"/>
                  </a:ext>
                </a:extLst>
              </xdr:cNvPr>
              <xdr:cNvGraphicFramePr>
                <a:graphicFrameLocks noMove="1" noResize="1"/>
              </xdr:cNvGraphicFramePr>
            </xdr:nvGraphicFramePr>
            <xdr:xfrm>
              <a:off x="57150" y="777877"/>
              <a:ext cx="2381300" cy="414868"/>
            </xdr:xfrm>
            <a:graphic>
              <a:graphicData uri="http://schemas.microsoft.com/office/drawing/2010/slicer">
                <sle:slicer xmlns:sle="http://schemas.microsoft.com/office/drawing/2010/slicer" name="VESSEL RUN"/>
              </a:graphicData>
            </a:graphic>
          </xdr:graphicFrame>
        </mc:Choice>
        <mc:Fallback xmlns="">
          <xdr:sp macro="" textlink="">
            <xdr:nvSpPr>
              <xdr:cNvPr id="0" name=""/>
              <xdr:cNvSpPr>
                <a:spLocks noTextEdit="1"/>
              </xdr:cNvSpPr>
            </xdr:nvSpPr>
            <xdr:spPr>
              <a:xfrm>
                <a:off x="57174" y="776076"/>
                <a:ext cx="2387233" cy="41390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2" name="Port">
                <a:extLst>
                  <a:ext uri="{FF2B5EF4-FFF2-40B4-BE49-F238E27FC236}">
                    <a16:creationId xmlns:a16="http://schemas.microsoft.com/office/drawing/2014/main" id="{00000000-0008-0000-0C00-000002000000}"/>
                  </a:ext>
                </a:extLst>
              </xdr:cNvPr>
              <xdr:cNvGraphicFramePr>
                <a:graphicFrameLocks noMove="1" noResize="1"/>
              </xdr:cNvGraphicFramePr>
            </xdr:nvGraphicFramePr>
            <xdr:xfrm>
              <a:off x="4791074" y="76200"/>
              <a:ext cx="10548000" cy="410400"/>
            </xdr:xfrm>
            <a:graphic>
              <a:graphicData uri="http://schemas.microsoft.com/office/drawing/2010/slicer">
                <sle:slicer xmlns:sle="http://schemas.microsoft.com/office/drawing/2010/slicer" name="Port"/>
              </a:graphicData>
            </a:graphic>
          </xdr:graphicFrame>
        </mc:Choice>
        <mc:Fallback xmlns="">
          <xdr:sp macro="" textlink="">
            <xdr:nvSpPr>
              <xdr:cNvPr id="0" name=""/>
              <xdr:cNvSpPr>
                <a:spLocks noTextEdit="1"/>
              </xdr:cNvSpPr>
            </xdr:nvSpPr>
            <xdr:spPr>
              <a:xfrm>
                <a:off x="4802893" y="76024"/>
                <a:ext cx="10574281" cy="4094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mc:AlternateContent xmlns:mc="http://schemas.openxmlformats.org/markup-compatibility/2006" xmlns:a14="http://schemas.microsoft.com/office/drawing/2010/main">
        <mc:Choice Requires="a14">
          <xdr:graphicFrame macro="">
            <xdr:nvGraphicFramePr>
              <xdr:cNvPr id="48" name="TYPE">
                <a:extLst>
                  <a:ext uri="{FF2B5EF4-FFF2-40B4-BE49-F238E27FC236}">
                    <a16:creationId xmlns:a16="http://schemas.microsoft.com/office/drawing/2014/main" id="{00000000-0008-0000-0C00-000030000000}"/>
                  </a:ext>
                </a:extLst>
              </xdr:cNvPr>
              <xdr:cNvGraphicFramePr>
                <a:graphicFrameLocks noMove="1" noResize="1"/>
              </xdr:cNvGraphicFramePr>
            </xdr:nvGraphicFramePr>
            <xdr:xfrm>
              <a:off x="2666997" y="76200"/>
              <a:ext cx="2037016" cy="409575"/>
            </xdr:xfrm>
            <a:graphic>
              <a:graphicData uri="http://schemas.microsoft.com/office/drawing/2010/slicer">
                <sle:slicer xmlns:sle="http://schemas.microsoft.com/office/drawing/2010/slicer" name="TYPE"/>
              </a:graphicData>
            </a:graphic>
          </xdr:graphicFrame>
        </mc:Choice>
        <mc:Fallback xmlns="">
          <xdr:sp macro="" textlink="">
            <xdr:nvSpPr>
              <xdr:cNvPr id="0" name=""/>
              <xdr:cNvSpPr>
                <a:spLocks noTextEdit="1"/>
              </xdr:cNvSpPr>
            </xdr:nvSpPr>
            <xdr:spPr>
              <a:xfrm>
                <a:off x="2673523" y="76024"/>
                <a:ext cx="2042091" cy="40862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xnSp macro="">
        <xdr:nvCxnSpPr>
          <xdr:cNvPr id="6" name="Straight Connector 5">
            <a:extLst>
              <a:ext uri="{FF2B5EF4-FFF2-40B4-BE49-F238E27FC236}">
                <a16:creationId xmlns:a16="http://schemas.microsoft.com/office/drawing/2014/main" id="{00000000-0008-0000-0C00-000006000000}"/>
              </a:ext>
            </a:extLst>
          </xdr:cNvPr>
          <xdr:cNvCxnSpPr/>
        </xdr:nvCxnSpPr>
        <xdr:spPr>
          <a:xfrm>
            <a:off x="4726516" y="66675"/>
            <a:ext cx="0" cy="390525"/>
          </a:xfrm>
          <a:prstGeom prst="line">
            <a:avLst/>
          </a:prstGeom>
        </xdr:spPr>
        <xdr:style>
          <a:lnRef idx="3">
            <a:schemeClr val="accent5"/>
          </a:lnRef>
          <a:fillRef idx="0">
            <a:schemeClr val="accent5"/>
          </a:fillRef>
          <a:effectRef idx="2">
            <a:schemeClr val="accent5"/>
          </a:effectRef>
          <a:fontRef idx="minor">
            <a:schemeClr val="tx1"/>
          </a:fontRef>
        </xdr:style>
      </xdr:cxnSp>
      <xdr:cxnSp macro="">
        <xdr:nvCxnSpPr>
          <xdr:cNvPr id="67" name="Straight Connector 66">
            <a:extLst>
              <a:ext uri="{FF2B5EF4-FFF2-40B4-BE49-F238E27FC236}">
                <a16:creationId xmlns:a16="http://schemas.microsoft.com/office/drawing/2014/main" id="{00000000-0008-0000-0C00-000043000000}"/>
              </a:ext>
            </a:extLst>
          </xdr:cNvPr>
          <xdr:cNvCxnSpPr/>
        </xdr:nvCxnSpPr>
        <xdr:spPr>
          <a:xfrm flipV="1">
            <a:off x="47625" y="657225"/>
            <a:ext cx="2343150" cy="9525"/>
          </a:xfrm>
          <a:prstGeom prst="line">
            <a:avLst/>
          </a:prstGeom>
        </xdr:spPr>
        <xdr:style>
          <a:lnRef idx="3">
            <a:schemeClr val="accent5"/>
          </a:lnRef>
          <a:fillRef idx="0">
            <a:schemeClr val="accent5"/>
          </a:fillRef>
          <a:effectRef idx="2">
            <a:schemeClr val="accent5"/>
          </a:effectRef>
          <a:fontRef idx="minor">
            <a:schemeClr val="tx1"/>
          </a:fontRef>
        </xdr:style>
      </xdr:cxnSp>
      <xdr:cxnSp macro="">
        <xdr:nvCxnSpPr>
          <xdr:cNvPr id="70" name="Straight Connector 69">
            <a:extLst>
              <a:ext uri="{FF2B5EF4-FFF2-40B4-BE49-F238E27FC236}">
                <a16:creationId xmlns:a16="http://schemas.microsoft.com/office/drawing/2014/main" id="{00000000-0008-0000-0C00-000046000000}"/>
              </a:ext>
            </a:extLst>
          </xdr:cNvPr>
          <xdr:cNvCxnSpPr/>
        </xdr:nvCxnSpPr>
        <xdr:spPr>
          <a:xfrm flipV="1">
            <a:off x="47625" y="1390642"/>
            <a:ext cx="2343150" cy="9525"/>
          </a:xfrm>
          <a:prstGeom prst="line">
            <a:avLst/>
          </a:prstGeom>
        </xdr:spPr>
        <xdr:style>
          <a:lnRef idx="3">
            <a:schemeClr val="accent5"/>
          </a:lnRef>
          <a:fillRef idx="0">
            <a:schemeClr val="accent5"/>
          </a:fillRef>
          <a:effectRef idx="2">
            <a:schemeClr val="accent5"/>
          </a:effectRef>
          <a:fontRef idx="minor">
            <a:schemeClr val="tx1"/>
          </a:fontRef>
        </xdr:style>
      </xdr:cxnSp>
      <mc:AlternateContent xmlns:mc="http://schemas.openxmlformats.org/markup-compatibility/2006" xmlns:a14="http://schemas.microsoft.com/office/drawing/2010/main">
        <mc:Choice Requires="a14">
          <xdr:graphicFrame macro="">
            <xdr:nvGraphicFramePr>
              <xdr:cNvPr id="79" name="TARIFF">
                <a:extLst>
                  <a:ext uri="{FF2B5EF4-FFF2-40B4-BE49-F238E27FC236}">
                    <a16:creationId xmlns:a16="http://schemas.microsoft.com/office/drawing/2014/main" id="{00000000-0008-0000-0C00-00004F000000}"/>
                  </a:ext>
                </a:extLst>
              </xdr:cNvPr>
              <xdr:cNvGraphicFramePr>
                <a:graphicFrameLocks noMove="1" noResize="1"/>
              </xdr:cNvGraphicFramePr>
            </xdr:nvGraphicFramePr>
            <xdr:xfrm>
              <a:off x="57150" y="2950621"/>
              <a:ext cx="2381300" cy="672042"/>
            </xdr:xfrm>
            <a:graphic>
              <a:graphicData uri="http://schemas.microsoft.com/office/drawing/2010/slicer">
                <sle:slicer xmlns:sle="http://schemas.microsoft.com/office/drawing/2010/slicer" name="TARIFF"/>
              </a:graphicData>
            </a:graphic>
          </xdr:graphicFrame>
        </mc:Choice>
        <mc:Fallback xmlns="">
          <xdr:sp macro="" textlink="">
            <xdr:nvSpPr>
              <xdr:cNvPr id="0" name=""/>
              <xdr:cNvSpPr>
                <a:spLocks noTextEdit="1"/>
              </xdr:cNvSpPr>
            </xdr:nvSpPr>
            <xdr:spPr>
              <a:xfrm>
                <a:off x="57174" y="2943789"/>
                <a:ext cx="2387233" cy="6704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xnSp macro="">
        <xdr:nvCxnSpPr>
          <xdr:cNvPr id="80" name="Straight Connector 79">
            <a:extLst>
              <a:ext uri="{FF2B5EF4-FFF2-40B4-BE49-F238E27FC236}">
                <a16:creationId xmlns:a16="http://schemas.microsoft.com/office/drawing/2014/main" id="{00000000-0008-0000-0C00-000050000000}"/>
              </a:ext>
            </a:extLst>
          </xdr:cNvPr>
          <xdr:cNvCxnSpPr/>
        </xdr:nvCxnSpPr>
        <xdr:spPr>
          <a:xfrm>
            <a:off x="2590800" y="85725"/>
            <a:ext cx="0" cy="390525"/>
          </a:xfrm>
          <a:prstGeom prst="line">
            <a:avLst/>
          </a:prstGeom>
        </xdr:spPr>
        <xdr:style>
          <a:lnRef idx="3">
            <a:schemeClr val="accent5"/>
          </a:lnRef>
          <a:fillRef idx="0">
            <a:schemeClr val="accent5"/>
          </a:fillRef>
          <a:effectRef idx="2">
            <a:schemeClr val="accent5"/>
          </a:effectRef>
          <a:fontRef idx="minor">
            <a:schemeClr val="tx1"/>
          </a:fontRef>
        </xdr:style>
      </xdr:cxnSp>
      <xdr:grpSp>
        <xdr:nvGrpSpPr>
          <xdr:cNvPr id="3" name="Group 2">
            <a:extLst>
              <a:ext uri="{FF2B5EF4-FFF2-40B4-BE49-F238E27FC236}">
                <a16:creationId xmlns:a16="http://schemas.microsoft.com/office/drawing/2014/main" id="{00000000-0008-0000-0C00-000003000000}"/>
              </a:ext>
            </a:extLst>
          </xdr:cNvPr>
          <xdr:cNvGrpSpPr/>
        </xdr:nvGrpSpPr>
        <xdr:grpSpPr>
          <a:xfrm>
            <a:off x="5392220" y="726017"/>
            <a:ext cx="4465108" cy="2494588"/>
            <a:chOff x="5331883" y="847726"/>
            <a:chExt cx="4464050" cy="2572807"/>
          </a:xfrm>
        </xdr:grpSpPr>
        <xdr:sp macro="" textlink="">
          <xdr:nvSpPr>
            <xdr:cNvPr id="22" name="Rectangle 21">
              <a:extLst>
                <a:ext uri="{FF2B5EF4-FFF2-40B4-BE49-F238E27FC236}">
                  <a16:creationId xmlns:a16="http://schemas.microsoft.com/office/drawing/2014/main" id="{00000000-0008-0000-0C00-000016000000}"/>
                </a:ext>
              </a:extLst>
            </xdr:cNvPr>
            <xdr:cNvSpPr/>
          </xdr:nvSpPr>
          <xdr:spPr>
            <a:xfrm>
              <a:off x="5331883" y="847726"/>
              <a:ext cx="3379504" cy="771524"/>
            </a:xfrm>
            <a:prstGeom prst="rect">
              <a:avLst/>
            </a:prstGeom>
            <a:solidFill>
              <a:schemeClr val="bg1"/>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t" anchorCtr="0">
              <a:noAutofit/>
            </a:bodyPr>
            <a:lstStyle/>
            <a:p>
              <a:pPr marL="0" lvl="0" indent="0" algn="r" defTabSz="889000">
                <a:lnSpc>
                  <a:spcPct val="90000"/>
                </a:lnSpc>
                <a:spcBef>
                  <a:spcPct val="0"/>
                </a:spcBef>
                <a:spcAft>
                  <a:spcPct val="35000"/>
                </a:spcAft>
                <a:buNone/>
              </a:pPr>
              <a:r>
                <a:rPr lang="en-US" sz="2000" b="1" i="0" u="none" strike="noStrike" kern="1200" cap="none" spc="0">
                  <a:ln>
                    <a:noFill/>
                  </a:ln>
                  <a:solidFill>
                    <a:srgbClr val="0070C0"/>
                  </a:solidFill>
                  <a:effectLst/>
                  <a:latin typeface="Adani Regular" panose="02000503000000020004" pitchFamily="2" charset="0"/>
                  <a:ea typeface="+mn-ea"/>
                  <a:cs typeface="Cavolini" panose="020B0502040204020203" pitchFamily="66" charset="0"/>
                </a:rPr>
                <a:t>Vessel Cost* </a:t>
              </a:r>
            </a:p>
          </xdr:txBody>
        </xdr:sp>
        <xdr:sp macro="" textlink="$N$97">
          <xdr:nvSpPr>
            <xdr:cNvPr id="21" name="Rectangle 20">
              <a:extLst>
                <a:ext uri="{FF2B5EF4-FFF2-40B4-BE49-F238E27FC236}">
                  <a16:creationId xmlns:a16="http://schemas.microsoft.com/office/drawing/2014/main" id="{00000000-0008-0000-0C00-000015000000}"/>
                </a:ext>
              </a:extLst>
            </xdr:cNvPr>
            <xdr:cNvSpPr/>
          </xdr:nvSpPr>
          <xdr:spPr>
            <a:xfrm>
              <a:off x="6254750" y="1138764"/>
              <a:ext cx="2445749" cy="482400"/>
            </a:xfrm>
            <a:prstGeom prst="rect">
              <a:avLst/>
            </a:prstGeom>
            <a:solidFill>
              <a:schemeClr val="bg1"/>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74269089-5A8E-4F03-9E0D-8F58575FB5E0}" type="TxLink">
                <a:rPr lang="en-US" sz="1800" b="1" i="0" u="none" strike="noStrike" kern="1200" cap="none" spc="0">
                  <a:ln>
                    <a:noFill/>
                  </a:ln>
                  <a:solidFill>
                    <a:srgbClr val="000000"/>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58,02,300 </a:t>
              </a:fld>
              <a:endParaRPr lang="en-US" sz="3600" b="1"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F$95">
          <xdr:nvSpPr>
            <xdr:cNvPr id="44" name="Rectangle 43">
              <a:extLst>
                <a:ext uri="{FF2B5EF4-FFF2-40B4-BE49-F238E27FC236}">
                  <a16:creationId xmlns:a16="http://schemas.microsoft.com/office/drawing/2014/main" id="{00000000-0008-0000-0C00-00002C000000}"/>
                </a:ext>
              </a:extLst>
            </xdr:cNvPr>
            <xdr:cNvSpPr/>
          </xdr:nvSpPr>
          <xdr:spPr>
            <a:xfrm>
              <a:off x="5331883" y="2698984"/>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l" defTabSz="889000">
                <a:lnSpc>
                  <a:spcPct val="90000"/>
                </a:lnSpc>
                <a:spcBef>
                  <a:spcPct val="0"/>
                </a:spcBef>
                <a:spcAft>
                  <a:spcPct val="35000"/>
                </a:spcAft>
                <a:buNone/>
              </a:pPr>
              <a:fld id="{DCF9D655-DA7B-4867-9A61-C4D39DB13D38}"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l" defTabSz="889000">
                  <a:lnSpc>
                    <a:spcPct val="90000"/>
                  </a:lnSpc>
                  <a:spcBef>
                    <a:spcPct val="0"/>
                  </a:spcBef>
                  <a:spcAft>
                    <a:spcPct val="35000"/>
                  </a:spcAft>
                  <a:buNone/>
                </a:pPr>
                <a:t>Mooring</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F$94">
          <xdr:nvSpPr>
            <xdr:cNvPr id="45" name="Rectangle 44">
              <a:extLst>
                <a:ext uri="{FF2B5EF4-FFF2-40B4-BE49-F238E27FC236}">
                  <a16:creationId xmlns:a16="http://schemas.microsoft.com/office/drawing/2014/main" id="{00000000-0008-0000-0C00-00002D000000}"/>
                </a:ext>
              </a:extLst>
            </xdr:cNvPr>
            <xdr:cNvSpPr/>
          </xdr:nvSpPr>
          <xdr:spPr>
            <a:xfrm>
              <a:off x="5331883" y="2346586"/>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l" defTabSz="889000">
                <a:lnSpc>
                  <a:spcPct val="90000"/>
                </a:lnSpc>
                <a:spcBef>
                  <a:spcPct val="0"/>
                </a:spcBef>
                <a:spcAft>
                  <a:spcPct val="35000"/>
                </a:spcAft>
                <a:buNone/>
              </a:pPr>
              <a:fld id="{5CDB328C-CC5B-4ACE-A353-1B254A3A5CEC}"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l" defTabSz="889000">
                  <a:lnSpc>
                    <a:spcPct val="90000"/>
                  </a:lnSpc>
                  <a:spcBef>
                    <a:spcPct val="0"/>
                  </a:spcBef>
                  <a:spcAft>
                    <a:spcPct val="35000"/>
                  </a:spcAft>
                  <a:buNone/>
                </a:pPr>
                <a:t>Berth Hire</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F$93">
          <xdr:nvSpPr>
            <xdr:cNvPr id="46" name="Rectangle 45">
              <a:extLst>
                <a:ext uri="{FF2B5EF4-FFF2-40B4-BE49-F238E27FC236}">
                  <a16:creationId xmlns:a16="http://schemas.microsoft.com/office/drawing/2014/main" id="{00000000-0008-0000-0C00-00002E000000}"/>
                </a:ext>
              </a:extLst>
            </xdr:cNvPr>
            <xdr:cNvSpPr/>
          </xdr:nvSpPr>
          <xdr:spPr>
            <a:xfrm>
              <a:off x="5331883" y="1987684"/>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l" defTabSz="889000">
                <a:lnSpc>
                  <a:spcPct val="90000"/>
                </a:lnSpc>
                <a:spcBef>
                  <a:spcPct val="0"/>
                </a:spcBef>
                <a:spcAft>
                  <a:spcPct val="35000"/>
                </a:spcAft>
                <a:buNone/>
              </a:pPr>
              <a:fld id="{D0E0D9C1-D112-4023-A2B8-7F17D6D7E842}"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l" defTabSz="889000">
                  <a:lnSpc>
                    <a:spcPct val="90000"/>
                  </a:lnSpc>
                  <a:spcBef>
                    <a:spcPct val="0"/>
                  </a:spcBef>
                  <a:spcAft>
                    <a:spcPct val="35000"/>
                  </a:spcAft>
                  <a:buNone/>
                </a:pPr>
                <a:t>Pilotage</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F$92">
          <xdr:nvSpPr>
            <xdr:cNvPr id="47" name="Rectangle 46">
              <a:extLst>
                <a:ext uri="{FF2B5EF4-FFF2-40B4-BE49-F238E27FC236}">
                  <a16:creationId xmlns:a16="http://schemas.microsoft.com/office/drawing/2014/main" id="{00000000-0008-0000-0C00-00002F000000}"/>
                </a:ext>
              </a:extLst>
            </xdr:cNvPr>
            <xdr:cNvSpPr/>
          </xdr:nvSpPr>
          <xdr:spPr>
            <a:xfrm>
              <a:off x="5331883" y="1634068"/>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l" defTabSz="889000">
                <a:lnSpc>
                  <a:spcPct val="90000"/>
                </a:lnSpc>
                <a:spcBef>
                  <a:spcPct val="0"/>
                </a:spcBef>
                <a:spcAft>
                  <a:spcPct val="35000"/>
                </a:spcAft>
                <a:buNone/>
              </a:pPr>
              <a:fld id="{34C0DE61-3FCC-4556-A6DE-C64729DCAD77}" type="TxLink">
                <a:rPr lang="en-US" sz="1200" b="0" i="0" u="none" strike="noStrike" kern="1200" cap="none" spc="0">
                  <a:ln>
                    <a:noFill/>
                  </a:ln>
                  <a:solidFill>
                    <a:schemeClr val="tx1"/>
                  </a:solidFill>
                  <a:effectLst/>
                  <a:latin typeface="Adani Regular" panose="02000503000000020004" pitchFamily="2" charset="0"/>
                  <a:cs typeface="Calibri"/>
                </a:rPr>
                <a:pPr marL="0" lvl="0" indent="0" algn="l" defTabSz="889000">
                  <a:lnSpc>
                    <a:spcPct val="90000"/>
                  </a:lnSpc>
                  <a:spcBef>
                    <a:spcPct val="0"/>
                  </a:spcBef>
                  <a:spcAft>
                    <a:spcPct val="35000"/>
                  </a:spcAft>
                  <a:buNone/>
                </a:pPr>
                <a:t>Port Dues</a:t>
              </a:fld>
              <a:endParaRPr lang="en-US" sz="2400" b="0" kern="1200" cap="none" spc="0">
                <a:ln>
                  <a:noFill/>
                </a:ln>
                <a:solidFill>
                  <a:schemeClr val="tx1"/>
                </a:solidFill>
                <a:effectLst/>
                <a:latin typeface="Adani Regular" panose="02000503000000020004" pitchFamily="2" charset="0"/>
              </a:endParaRPr>
            </a:p>
          </xdr:txBody>
        </xdr:sp>
        <xdr:sp macro="" textlink="$N$96">
          <xdr:nvSpPr>
            <xdr:cNvPr id="38" name="Rectangle 37">
              <a:extLst>
                <a:ext uri="{FF2B5EF4-FFF2-40B4-BE49-F238E27FC236}">
                  <a16:creationId xmlns:a16="http://schemas.microsoft.com/office/drawing/2014/main" id="{00000000-0008-0000-0C00-000026000000}"/>
                </a:ext>
              </a:extLst>
            </xdr:cNvPr>
            <xdr:cNvSpPr/>
          </xdr:nvSpPr>
          <xdr:spPr>
            <a:xfrm>
              <a:off x="6983082" y="3054575"/>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D2957CDD-D0DB-4AE5-A843-00C133C7E6C3}"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26,250 </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N$95">
          <xdr:nvSpPr>
            <xdr:cNvPr id="39" name="Rectangle 38">
              <a:extLst>
                <a:ext uri="{FF2B5EF4-FFF2-40B4-BE49-F238E27FC236}">
                  <a16:creationId xmlns:a16="http://schemas.microsoft.com/office/drawing/2014/main" id="{00000000-0008-0000-0C00-000027000000}"/>
                </a:ext>
              </a:extLst>
            </xdr:cNvPr>
            <xdr:cNvSpPr/>
          </xdr:nvSpPr>
          <xdr:spPr>
            <a:xfrm>
              <a:off x="6983082" y="2700963"/>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E9FB157B-43B3-4A0C-A6BD-A2E059B9B45A}"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96,348 </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N$94">
          <xdr:nvSpPr>
            <xdr:cNvPr id="40" name="Rectangle 39">
              <a:extLst>
                <a:ext uri="{FF2B5EF4-FFF2-40B4-BE49-F238E27FC236}">
                  <a16:creationId xmlns:a16="http://schemas.microsoft.com/office/drawing/2014/main" id="{00000000-0008-0000-0C00-000028000000}"/>
                </a:ext>
              </a:extLst>
            </xdr:cNvPr>
            <xdr:cNvSpPr/>
          </xdr:nvSpPr>
          <xdr:spPr>
            <a:xfrm>
              <a:off x="6983082" y="2346586"/>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F08ACC59-B868-41E0-97DA-9FBFF1D578D7}"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54,000 </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N$93">
          <xdr:nvSpPr>
            <xdr:cNvPr id="41" name="Rectangle 40">
              <a:extLst>
                <a:ext uri="{FF2B5EF4-FFF2-40B4-BE49-F238E27FC236}">
                  <a16:creationId xmlns:a16="http://schemas.microsoft.com/office/drawing/2014/main" id="{00000000-0008-0000-0C00-000029000000}"/>
                </a:ext>
              </a:extLst>
            </xdr:cNvPr>
            <xdr:cNvSpPr/>
          </xdr:nvSpPr>
          <xdr:spPr>
            <a:xfrm>
              <a:off x="6983082" y="1985707"/>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E9F28A6F-65CE-4BDF-8B55-9CA3BE5E1F2A}"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54,75,353 </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N$92">
          <xdr:nvSpPr>
            <xdr:cNvPr id="42" name="Rectangle 41">
              <a:extLst>
                <a:ext uri="{FF2B5EF4-FFF2-40B4-BE49-F238E27FC236}">
                  <a16:creationId xmlns:a16="http://schemas.microsoft.com/office/drawing/2014/main" id="{00000000-0008-0000-0C00-00002A000000}"/>
                </a:ext>
              </a:extLst>
            </xdr:cNvPr>
            <xdr:cNvSpPr/>
          </xdr:nvSpPr>
          <xdr:spPr>
            <a:xfrm>
              <a:off x="6983082" y="1634069"/>
              <a:ext cx="1728000"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B249D25A-1BBB-4BCB-9CE2-E0D23F832B18}"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1,50,350 </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sp macro="" textlink="$F$96">
          <xdr:nvSpPr>
            <xdr:cNvPr id="43" name="Rectangle 42">
              <a:extLst>
                <a:ext uri="{FF2B5EF4-FFF2-40B4-BE49-F238E27FC236}">
                  <a16:creationId xmlns:a16="http://schemas.microsoft.com/office/drawing/2014/main" id="{00000000-0008-0000-0C00-00002B000000}"/>
                </a:ext>
              </a:extLst>
            </xdr:cNvPr>
            <xdr:cNvSpPr/>
          </xdr:nvSpPr>
          <xdr:spPr>
            <a:xfrm>
              <a:off x="5331883" y="3059342"/>
              <a:ext cx="1928284" cy="360000"/>
            </a:xfrm>
            <a:prstGeom prst="rect">
              <a:avLst/>
            </a:prstGeom>
            <a:solidFill>
              <a:schemeClr val="bg1">
                <a:lumMod val="85000"/>
              </a:schemeClr>
            </a:solid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l" defTabSz="889000">
                <a:lnSpc>
                  <a:spcPct val="90000"/>
                </a:lnSpc>
                <a:spcBef>
                  <a:spcPct val="0"/>
                </a:spcBef>
                <a:spcAft>
                  <a:spcPct val="35000"/>
                </a:spcAft>
                <a:buNone/>
              </a:pPr>
              <a:fld id="{617F0998-F718-4108-A461-5E9DE3171E7A}" type="TxLink">
                <a:rPr lang="en-US" sz="1200" b="0" i="0" u="none" strike="noStrike" kern="1200" cap="none" spc="0">
                  <a:ln>
                    <a:noFill/>
                  </a:ln>
                  <a:solidFill>
                    <a:schemeClr val="tx1"/>
                  </a:solidFill>
                  <a:effectLst/>
                  <a:latin typeface="Adani Regular" panose="02000503000000020004" pitchFamily="2" charset="0"/>
                  <a:ea typeface="+mn-ea"/>
                  <a:cs typeface="Calibri"/>
                </a:rPr>
                <a:pPr marL="0" lvl="0" indent="0" algn="l" defTabSz="889000">
                  <a:lnSpc>
                    <a:spcPct val="90000"/>
                  </a:lnSpc>
                  <a:spcBef>
                    <a:spcPct val="0"/>
                  </a:spcBef>
                  <a:spcAft>
                    <a:spcPct val="35000"/>
                  </a:spcAft>
                  <a:buNone/>
                </a:pPr>
                <a:t>Port Env &amp; Safety</a:t>
              </a:fld>
              <a:endParaRPr lang="en-US" sz="1200" b="0" i="0" u="none" strike="noStrike" kern="1200" cap="none" spc="0">
                <a:ln>
                  <a:noFill/>
                </a:ln>
                <a:solidFill>
                  <a:schemeClr val="tx1"/>
                </a:solidFill>
                <a:effectLst/>
                <a:latin typeface="Adani Regular" panose="02000503000000020004" pitchFamily="2" charset="0"/>
                <a:ea typeface="+mn-ea"/>
                <a:cs typeface="Calibri"/>
              </a:endParaRPr>
            </a:p>
          </xdr:txBody>
        </xdr:sp>
        <xdr:grpSp>
          <xdr:nvGrpSpPr>
            <xdr:cNvPr id="15" name="Group 14">
              <a:extLst>
                <a:ext uri="{FF2B5EF4-FFF2-40B4-BE49-F238E27FC236}">
                  <a16:creationId xmlns:a16="http://schemas.microsoft.com/office/drawing/2014/main" id="{00000000-0008-0000-0C00-00000F000000}"/>
                </a:ext>
              </a:extLst>
            </xdr:cNvPr>
            <xdr:cNvGrpSpPr/>
          </xdr:nvGrpSpPr>
          <xdr:grpSpPr>
            <a:xfrm>
              <a:off x="8531226" y="1634067"/>
              <a:ext cx="1264707" cy="1786466"/>
              <a:chOff x="6315075" y="1543050"/>
              <a:chExt cx="1114426" cy="1498061"/>
            </a:xfrm>
            <a:noFill/>
          </xdr:grpSpPr>
          <xdr:sp macro="" textlink="$P$95">
            <xdr:nvSpPr>
              <xdr:cNvPr id="72" name="Rectangle 71">
                <a:extLst>
                  <a:ext uri="{FF2B5EF4-FFF2-40B4-BE49-F238E27FC236}">
                    <a16:creationId xmlns:a16="http://schemas.microsoft.com/office/drawing/2014/main" id="{00000000-0008-0000-0C00-000048000000}"/>
                  </a:ext>
                </a:extLst>
              </xdr:cNvPr>
              <xdr:cNvSpPr/>
            </xdr:nvSpPr>
            <xdr:spPr>
              <a:xfrm>
                <a:off x="6315075" y="2445140"/>
                <a:ext cx="1114426" cy="300696"/>
              </a:xfrm>
              <a:prstGeom prst="rect">
                <a:avLst/>
              </a:prstGeom>
              <a:grp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5E72D2CF-34FE-4D72-9366-A9B6152AC770}" type="TxLink">
                  <a:rPr lang="en-US" sz="1200" b="0" i="0" u="sng" strike="noStrike" kern="1200" cap="none" spc="0">
                    <a:ln>
                      <a:noFill/>
                    </a:ln>
                    <a:solidFill>
                      <a:schemeClr val="bg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0.03472 </a:t>
                </a:fld>
                <a:endParaRPr lang="en-US" sz="1200" b="0" i="0" u="sng" strike="noStrike" kern="1200" cap="none" spc="0">
                  <a:ln>
                    <a:noFill/>
                  </a:ln>
                  <a:solidFill>
                    <a:schemeClr val="bg1"/>
                  </a:solidFill>
                  <a:effectLst/>
                  <a:latin typeface="Adani Regular" panose="02000503000000020004" pitchFamily="2" charset="0"/>
                  <a:ea typeface="+mn-ea"/>
                  <a:cs typeface="Calibri"/>
                </a:endParaRPr>
              </a:p>
            </xdr:txBody>
          </xdr:sp>
          <xdr:sp macro="" textlink="$P$94">
            <xdr:nvSpPr>
              <xdr:cNvPr id="73" name="Rectangle 72">
                <a:extLst>
                  <a:ext uri="{FF2B5EF4-FFF2-40B4-BE49-F238E27FC236}">
                    <a16:creationId xmlns:a16="http://schemas.microsoft.com/office/drawing/2014/main" id="{00000000-0008-0000-0C00-000049000000}"/>
                  </a:ext>
                </a:extLst>
              </xdr:cNvPr>
              <xdr:cNvSpPr/>
            </xdr:nvSpPr>
            <xdr:spPr>
              <a:xfrm>
                <a:off x="6315075" y="2144442"/>
                <a:ext cx="1114426" cy="300696"/>
              </a:xfrm>
              <a:prstGeom prst="rect">
                <a:avLst/>
              </a:prstGeom>
              <a:grp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203635A1-AA23-4F63-B56D-F8EFE3CF4D18}" type="TxLink">
                  <a:rPr lang="en-US" sz="1200" b="0" i="0" u="sng" strike="noStrike" kern="1200" cap="none" spc="0">
                    <a:ln>
                      <a:noFill/>
                    </a:ln>
                    <a:solidFill>
                      <a:schemeClr val="bg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0.01000 </a:t>
                </a:fld>
                <a:endParaRPr lang="en-US" sz="1200" b="0" i="0" u="sng" strike="noStrike" kern="1200" cap="none" spc="0">
                  <a:ln>
                    <a:noFill/>
                  </a:ln>
                  <a:solidFill>
                    <a:schemeClr val="bg1"/>
                  </a:solidFill>
                  <a:effectLst/>
                  <a:latin typeface="Adani Regular" panose="02000503000000020004" pitchFamily="2" charset="0"/>
                  <a:ea typeface="+mn-ea"/>
                  <a:cs typeface="Calibri"/>
                </a:endParaRPr>
              </a:p>
            </xdr:txBody>
          </xdr:sp>
          <xdr:sp macro="" textlink="$P$93">
            <xdr:nvSpPr>
              <xdr:cNvPr id="74" name="Rectangle 73">
                <a:extLst>
                  <a:ext uri="{FF2B5EF4-FFF2-40B4-BE49-F238E27FC236}">
                    <a16:creationId xmlns:a16="http://schemas.microsoft.com/office/drawing/2014/main" id="{00000000-0008-0000-0C00-00004A000000}"/>
                  </a:ext>
                </a:extLst>
              </xdr:cNvPr>
              <xdr:cNvSpPr/>
            </xdr:nvSpPr>
            <xdr:spPr>
              <a:xfrm>
                <a:off x="6315075" y="1841769"/>
                <a:ext cx="1114426" cy="300696"/>
              </a:xfrm>
              <a:prstGeom prst="rect">
                <a:avLst/>
              </a:prstGeom>
              <a:grp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C4E89839-FAAE-4C89-8A37-6A377CDA2B49}" type="TxLink">
                  <a:rPr lang="en-US" sz="1200" b="0" i="0" u="sng" strike="noStrike" kern="1200" cap="none" spc="0">
                    <a:ln>
                      <a:noFill/>
                    </a:ln>
                    <a:solidFill>
                      <a:schemeClr val="bg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1.97310 </a:t>
                </a:fld>
                <a:endParaRPr lang="en-US" sz="1200" b="0" i="0" u="sng" strike="noStrike" kern="1200" cap="none" spc="0">
                  <a:ln>
                    <a:noFill/>
                  </a:ln>
                  <a:solidFill>
                    <a:schemeClr val="bg1"/>
                  </a:solidFill>
                  <a:effectLst/>
                  <a:latin typeface="Adani Regular" panose="02000503000000020004" pitchFamily="2" charset="0"/>
                  <a:ea typeface="+mn-ea"/>
                  <a:cs typeface="Calibri"/>
                </a:endParaRPr>
              </a:p>
            </xdr:txBody>
          </xdr:sp>
          <xdr:sp macro="" textlink="$P$92">
            <xdr:nvSpPr>
              <xdr:cNvPr id="76" name="Rectangle 75">
                <a:extLst>
                  <a:ext uri="{FF2B5EF4-FFF2-40B4-BE49-F238E27FC236}">
                    <a16:creationId xmlns:a16="http://schemas.microsoft.com/office/drawing/2014/main" id="{00000000-0008-0000-0C00-00004C000000}"/>
                  </a:ext>
                </a:extLst>
              </xdr:cNvPr>
              <xdr:cNvSpPr/>
            </xdr:nvSpPr>
            <xdr:spPr>
              <a:xfrm>
                <a:off x="6315075" y="1543050"/>
                <a:ext cx="1114426" cy="300696"/>
              </a:xfrm>
              <a:prstGeom prst="rect">
                <a:avLst/>
              </a:prstGeom>
              <a:grp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BEEDD1F2-E2C0-409A-87D6-52E7B2DF06CF}" type="TxLink">
                  <a:rPr lang="en-US" sz="1200" b="0" i="0" u="sng" strike="noStrike" kern="1200" cap="none" spc="0">
                    <a:ln>
                      <a:noFill/>
                    </a:ln>
                    <a:solidFill>
                      <a:schemeClr val="bg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0.05418 </a:t>
                </a:fld>
                <a:endParaRPr lang="en-US" sz="1200" b="0" i="0" u="sng" strike="noStrike" kern="1200" cap="none" spc="0">
                  <a:ln>
                    <a:noFill/>
                  </a:ln>
                  <a:solidFill>
                    <a:schemeClr val="bg1"/>
                  </a:solidFill>
                  <a:effectLst/>
                  <a:latin typeface="Adani Regular" panose="02000503000000020004" pitchFamily="2" charset="0"/>
                  <a:ea typeface="+mn-ea"/>
                  <a:cs typeface="Calibri"/>
                </a:endParaRPr>
              </a:p>
            </xdr:txBody>
          </xdr:sp>
          <xdr:sp macro="" textlink="$P$96">
            <xdr:nvSpPr>
              <xdr:cNvPr id="77" name="Rectangle 76">
                <a:extLst>
                  <a:ext uri="{FF2B5EF4-FFF2-40B4-BE49-F238E27FC236}">
                    <a16:creationId xmlns:a16="http://schemas.microsoft.com/office/drawing/2014/main" id="{00000000-0008-0000-0C00-00004D000000}"/>
                  </a:ext>
                </a:extLst>
              </xdr:cNvPr>
              <xdr:cNvSpPr/>
            </xdr:nvSpPr>
            <xdr:spPr>
              <a:xfrm>
                <a:off x="6315075" y="2740415"/>
                <a:ext cx="1114426" cy="300696"/>
              </a:xfrm>
              <a:prstGeom prst="rect">
                <a:avLst/>
              </a:prstGeom>
              <a:grpFill/>
              <a:ln>
                <a:noFill/>
              </a:ln>
            </xdr:spPr>
            <xdr:style>
              <a:lnRef idx="3">
                <a:schemeClr val="lt1"/>
              </a:lnRef>
              <a:fillRef idx="1">
                <a:schemeClr val="accent3"/>
              </a:fillRef>
              <a:effectRef idx="1">
                <a:schemeClr val="accent3"/>
              </a:effectRef>
              <a:fontRef idx="minor">
                <a:schemeClr val="lt1"/>
              </a:fontRef>
            </xdr:style>
            <xdr:txBody>
              <a:bodyPr spcFirstLastPara="0" vert="horz" wrap="square" lIns="149789" tIns="28821" rIns="149789" bIns="28821" numCol="1" spcCol="1270" anchor="ctr" anchorCtr="0">
                <a:noAutofit/>
              </a:bodyPr>
              <a:lstStyle/>
              <a:p>
                <a:pPr marL="0" lvl="0" indent="0" algn="r" defTabSz="889000">
                  <a:lnSpc>
                    <a:spcPct val="90000"/>
                  </a:lnSpc>
                  <a:spcBef>
                    <a:spcPct val="0"/>
                  </a:spcBef>
                  <a:spcAft>
                    <a:spcPct val="35000"/>
                  </a:spcAft>
                  <a:buNone/>
                </a:pPr>
                <a:fld id="{D189E86E-B0DD-42DE-BF14-7FEDC1DD9943}" type="TxLink">
                  <a:rPr lang="en-US" sz="1200" b="0" i="0" u="sng" strike="noStrike" kern="1200" cap="none" spc="0">
                    <a:ln>
                      <a:noFill/>
                    </a:ln>
                    <a:solidFill>
                      <a:schemeClr val="bg1"/>
                    </a:solidFill>
                    <a:effectLst/>
                    <a:latin typeface="Adani Regular" panose="02000503000000020004" pitchFamily="2" charset="0"/>
                    <a:ea typeface="+mn-ea"/>
                    <a:cs typeface="Calibri"/>
                  </a:rPr>
                  <a:pPr marL="0" lvl="0" indent="0" algn="r" defTabSz="889000">
                    <a:lnSpc>
                      <a:spcPct val="90000"/>
                    </a:lnSpc>
                    <a:spcBef>
                      <a:spcPct val="0"/>
                    </a:spcBef>
                    <a:spcAft>
                      <a:spcPct val="35000"/>
                    </a:spcAft>
                    <a:buNone/>
                  </a:pPr>
                  <a:t> 350.00 </a:t>
                </a:fld>
                <a:endParaRPr lang="en-US" sz="1200" b="0" i="0" u="sng" strike="noStrike" kern="1200" cap="none" spc="0">
                  <a:ln>
                    <a:noFill/>
                  </a:ln>
                  <a:solidFill>
                    <a:schemeClr val="bg1"/>
                  </a:solidFill>
                  <a:effectLst/>
                  <a:latin typeface="Adani Regular" panose="02000503000000020004" pitchFamily="2" charset="0"/>
                  <a:ea typeface="+mn-ea"/>
                  <a:cs typeface="Calibri"/>
                </a:endParaRPr>
              </a:p>
            </xdr:txBody>
          </xdr:sp>
        </xdr:grpSp>
        <mc:AlternateContent xmlns:mc="http://schemas.openxmlformats.org/markup-compatibility/2006" xmlns:a14="http://schemas.microsoft.com/office/drawing/2010/main">
          <mc:Choice Requires="a14">
            <xdr:graphicFrame macro="">
              <xdr:nvGraphicFramePr>
                <xdr:cNvPr id="54" name="CURR 1">
                  <a:extLst>
                    <a:ext uri="{FF2B5EF4-FFF2-40B4-BE49-F238E27FC236}">
                      <a16:creationId xmlns:a16="http://schemas.microsoft.com/office/drawing/2014/main" id="{00000000-0008-0000-0C00-000036000000}"/>
                    </a:ext>
                  </a:extLst>
                </xdr:cNvPr>
                <xdr:cNvGraphicFramePr/>
              </xdr:nvGraphicFramePr>
              <xdr:xfrm>
                <a:off x="5501220" y="869157"/>
                <a:ext cx="785282" cy="735202"/>
              </xdr:xfrm>
              <a:graphic>
                <a:graphicData uri="http://schemas.microsoft.com/office/drawing/2010/slicer">
                  <sle:slicer xmlns:sle="http://schemas.microsoft.com/office/drawing/2010/slicer" name="CURR 1"/>
                </a:graphicData>
              </a:graphic>
            </xdr:graphicFrame>
          </mc:Choice>
          <mc:Fallback xmlns="">
            <xdr:sp macro="" textlink="">
              <xdr:nvSpPr>
                <xdr:cNvPr id="0" name=""/>
                <xdr:cNvSpPr>
                  <a:spLocks noTextEdit="1"/>
                </xdr:cNvSpPr>
              </xdr:nvSpPr>
              <xdr:spPr>
                <a:xfrm>
                  <a:off x="5575336" y="804195"/>
                  <a:ext cx="787425" cy="62684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grpSp>
      <xdr:graphicFrame macro="">
        <xdr:nvGraphicFramePr>
          <xdr:cNvPr id="58" name="Chart 57">
            <a:extLst>
              <a:ext uri="{FF2B5EF4-FFF2-40B4-BE49-F238E27FC236}">
                <a16:creationId xmlns:a16="http://schemas.microsoft.com/office/drawing/2014/main" id="{00000000-0008-0000-0C00-00003A000000}"/>
              </a:ext>
            </a:extLst>
          </xdr:cNvPr>
          <xdr:cNvGraphicFramePr>
            <a:graphicFrameLocks/>
          </xdr:cNvGraphicFramePr>
        </xdr:nvGraphicFramePr>
        <xdr:xfrm>
          <a:off x="3015985" y="3714750"/>
          <a:ext cx="9528439" cy="1313115"/>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65" name="Straight Connector 64">
            <a:extLst>
              <a:ext uri="{FF2B5EF4-FFF2-40B4-BE49-F238E27FC236}">
                <a16:creationId xmlns:a16="http://schemas.microsoft.com/office/drawing/2014/main" id="{00000000-0008-0000-0C00-000041000000}"/>
              </a:ext>
            </a:extLst>
          </xdr:cNvPr>
          <xdr:cNvCxnSpPr/>
        </xdr:nvCxnSpPr>
        <xdr:spPr>
          <a:xfrm flipV="1">
            <a:off x="79376" y="2816226"/>
            <a:ext cx="2343150" cy="9525"/>
          </a:xfrm>
          <a:prstGeom prst="line">
            <a:avLst/>
          </a:prstGeom>
        </xdr:spPr>
        <xdr:style>
          <a:lnRef idx="3">
            <a:schemeClr val="accent5"/>
          </a:lnRef>
          <a:fillRef idx="0">
            <a:schemeClr val="accent5"/>
          </a:fillRef>
          <a:effectRef idx="2">
            <a:schemeClr val="accent5"/>
          </a:effectRef>
          <a:fontRef idx="minor">
            <a:schemeClr val="tx1"/>
          </a:fontRef>
        </xdr:style>
      </xdr:cxnSp>
      <xdr:sp macro="" textlink="">
        <xdr:nvSpPr>
          <xdr:cNvPr id="53" name="TextBox 1">
            <a:extLst>
              <a:ext uri="{FF2B5EF4-FFF2-40B4-BE49-F238E27FC236}">
                <a16:creationId xmlns:a16="http://schemas.microsoft.com/office/drawing/2014/main" id="{00000000-0008-0000-0C00-000035000000}"/>
              </a:ext>
            </a:extLst>
          </xdr:cNvPr>
          <xdr:cNvSpPr txBox="1"/>
        </xdr:nvSpPr>
        <xdr:spPr>
          <a:xfrm>
            <a:off x="11296650" y="619125"/>
            <a:ext cx="1185618" cy="2784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1100" b="1" u="sng">
                <a:solidFill>
                  <a:schemeClr val="bg1"/>
                </a:solidFill>
              </a:rPr>
              <a:t>Service</a:t>
            </a:r>
            <a:r>
              <a:rPr lang="en-US" sz="1100" b="1" u="sng" baseline="0">
                <a:solidFill>
                  <a:schemeClr val="bg1"/>
                </a:solidFill>
              </a:rPr>
              <a:t> Share</a:t>
            </a:r>
            <a:endParaRPr lang="en-US" sz="1100" b="1" u="sng">
              <a:solidFill>
                <a:schemeClr val="bg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411480</xdr:colOff>
          <xdr:row>19</xdr:row>
          <xdr:rowOff>106680</xdr:rowOff>
        </xdr:from>
        <xdr:to>
          <xdr:col>1</xdr:col>
          <xdr:colOff>160020</xdr:colOff>
          <xdr:row>21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C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0.00725</cdr:y>
    </cdr:from>
    <cdr:to>
      <cdr:x>0.24827</cdr:x>
      <cdr:y>0.21932</cdr:y>
    </cdr:to>
    <cdr:sp macro="" textlink="">
      <cdr:nvSpPr>
        <cdr:cNvPr id="3" name="TextBox 2">
          <a:extLst xmlns:a="http://schemas.openxmlformats.org/drawingml/2006/main">
            <a:ext uri="{FF2B5EF4-FFF2-40B4-BE49-F238E27FC236}">
              <a16:creationId xmlns:a16="http://schemas.microsoft.com/office/drawing/2014/main" id="{A7616058-538E-4D2D-9F0B-AFCA46A276D9}"/>
            </a:ext>
          </a:extLst>
        </cdr:cNvPr>
        <cdr:cNvSpPr txBox="1"/>
      </cdr:nvSpPr>
      <cdr:spPr>
        <a:xfrm xmlns:a="http://schemas.openxmlformats.org/drawingml/2006/main">
          <a:off x="0" y="9525"/>
          <a:ext cx="2365640" cy="2784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u="sng"/>
            <a:t>Portwise Vessel Cost (in crores)</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4444.941704629629" createdVersion="6" refreshedVersion="6" minRefreshableVersion="3" recordCount="2" xr:uid="{334DE57C-0D68-49AA-8771-7B2F7B29F65C}">
  <cacheSource type="worksheet">
    <worksheetSource name="Table3"/>
  </cacheSource>
  <cacheFields count="2">
    <cacheField name="CURR" numFmtId="0">
      <sharedItems count="2">
        <s v="INR"/>
        <s v="USD"/>
      </sharedItems>
    </cacheField>
    <cacheField name="RATE" numFmtId="0">
      <sharedItems containsSemiMixedTypes="0" containsString="0" containsNumber="1" containsInteger="1" minValue="1" maxValue="75"/>
    </cacheField>
  </cacheFields>
  <extLst>
    <ext xmlns:x14="http://schemas.microsoft.com/office/spreadsheetml/2009/9/main" uri="{725AE2AE-9491-48be-B2B4-4EB974FC3084}">
      <x14:pivotCacheDefinition pivotCacheId="871559104"/>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4444.943334374999" createdVersion="6" refreshedVersion="6" minRefreshableVersion="3" recordCount="2" xr:uid="{51070485-9A76-44D0-9B63-DE5240B1C2EB}">
  <cacheSource type="worksheet">
    <worksheetSource name="Table4"/>
  </cacheSource>
  <cacheFields count="1">
    <cacheField name="TARIFF" numFmtId="0">
      <sharedItems count="2">
        <s v="VIEW"/>
        <s v="HIDE"/>
      </sharedItems>
    </cacheField>
  </cacheFields>
  <extLst>
    <ext xmlns:x14="http://schemas.microsoft.com/office/spreadsheetml/2009/9/main" uri="{725AE2AE-9491-48be-B2B4-4EB974FC3084}">
      <x14:pivotCacheDefinition pivotCacheId="687766476"/>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jeev Tandon" refreshedDate="44452.54266979167" createdVersion="6" refreshedVersion="6" minRefreshableVersion="3" recordCount="96" xr:uid="{C70753FE-3AF9-4FE0-8DB9-1C62AF173B65}">
  <cacheSource type="worksheet">
    <worksheetSource name="Table13"/>
  </cacheSource>
  <cacheFields count="9">
    <cacheField name="TYPE" numFmtId="0">
      <sharedItems count="2">
        <s v="PORTS"/>
        <s v="TERMINALS"/>
      </sharedItems>
    </cacheField>
    <cacheField name="PORT" numFmtId="0">
      <sharedItems containsBlank="1" count="14">
        <s v="MUNDRA"/>
        <s v="DAHEJ"/>
        <s v="DHAMRA"/>
        <s v="KATTUPALLI"/>
        <s v="HAZIRA"/>
        <s v="KPCL"/>
        <s v="DIGHI"/>
        <s v="GPL"/>
        <s v="TUNA"/>
        <s v="GOA"/>
        <s v="ENNORE"/>
        <m u="1"/>
        <s v="AKPL" u="1"/>
        <s v="Krishnapattnam" u="1"/>
      </sharedItems>
    </cacheField>
    <cacheField name="VESSEL TYPE" numFmtId="0">
      <sharedItems containsBlank="1" count="12">
        <s v="GENERAL"/>
        <s v="COAL &amp; PROJECT"/>
        <s v="CONTAINER"/>
        <s v="LNG"/>
        <s v="TANKER"/>
        <s v="DRY"/>
        <s v="PROJECT"/>
        <m u="1"/>
        <s v="GLOBAL" u="1"/>
        <s v="NON (COAL &amp; PROJECT)" u="1"/>
        <s v="ALL VESSELS" u="1"/>
        <s v="NON-COAL &amp; PROJECT" u="1"/>
      </sharedItems>
    </cacheField>
    <cacheField name="VESSEL RUN" numFmtId="0">
      <sharedItems containsBlank="1" count="3">
        <s v="FOREIGN"/>
        <s v="COASTAL"/>
        <m u="1"/>
      </sharedItems>
    </cacheField>
    <cacheField name="SERVICE" numFmtId="0">
      <sharedItems count="5">
        <s v="Port Dues"/>
        <s v="Pilotage"/>
        <s v="Berth Hire"/>
        <s v="Mooring"/>
        <s v="Port Env &amp; Safety"/>
      </sharedItems>
    </cacheField>
    <cacheField name="lookup1" numFmtId="0">
      <sharedItems count="224">
        <s v="MUNDRAGENERALFOREIGNPort Dues"/>
        <s v="MUNDRAGENERALFOREIGNPilotage"/>
        <s v="MUNDRAGENERALFOREIGNBerth Hire"/>
        <s v="MUNDRAGENERALFOREIGNMooring"/>
        <s v="MUNDRAGENERALFOREIGNPort Env &amp; Safety"/>
        <s v="DAHEJGENERALFOREIGNPort Dues"/>
        <s v="DAHEJGENERALFOREIGNPilotage"/>
        <s v="DAHEJGENERALFOREIGNBerth Hire"/>
        <s v="DAHEJGENERALFOREIGNMooring"/>
        <s v="DAHEJGENERALFOREIGNPort Env &amp; Safety"/>
        <s v="DAHEJCOAL &amp; PROJECTFOREIGNPort Dues"/>
        <s v="DAHEJCOAL &amp; PROJECTFOREIGNPilotage"/>
        <s v="DAHEJCOAL &amp; PROJECTFOREIGNBerth Hire"/>
        <s v="DAHEJCOAL &amp; PROJECTFOREIGNMooring"/>
        <s v="DAHEJCOAL &amp; PROJECTFOREIGNPort Env &amp; Safety"/>
        <s v="DHAMRAGENERALFOREIGNPort Dues"/>
        <s v="DHAMRAGENERALFOREIGNPilotage"/>
        <s v="DHAMRAGENERALFOREIGNBerth Hire"/>
        <s v="DHAMRAGENERALFOREIGNMooring"/>
        <s v="DHAMRAGENERALFOREIGNPort Env &amp; Safety"/>
        <s v="KATTUPALLICONTAINERFOREIGNPilotage"/>
        <s v="KATTUPALLICONTAINERFOREIGNBerth Hire"/>
        <s v="KATTUPALLICONTAINERCOASTALPilotage"/>
        <s v="KATTUPALLICONTAINERCOASTALBerth Hire"/>
        <s v="KATTUPALLICONTAINERFOREIGNMooring"/>
        <s v="KATTUPALLICONTAINERCOASTALMooring"/>
        <s v="KATTUPALLICONTAINERFOREIGNPort Env &amp; Safety"/>
        <s v="KATTUPALLICONTAINERCOASTALPort Env &amp; Safety"/>
        <s v="KATTUPALLIGENERALFOREIGNPilotage"/>
        <s v="KATTUPALLIGENERALFOREIGNBerth Hire"/>
        <s v="KATTUPALLIGENERALCOASTALPilotage"/>
        <s v="KATTUPALLIGENERALCOASTALBerth Hire"/>
        <s v="KATTUPALLIGENERALFOREIGNMooring"/>
        <s v="KATTUPALLIGENERALCOASTALMooring"/>
        <s v="KATTUPALLIGENERALFOREIGNPort Env &amp; Safety"/>
        <s v="KATTUPALLIGENERALCOASTALPort Env &amp; Safety"/>
        <s v="HAZIRALNGFOREIGNPort Dues"/>
        <s v="HAZIRALNGFOREIGNPilotage"/>
        <s v="HAZIRAGENERALFOREIGNPort Dues"/>
        <s v="HAZIRAGENERALFOREIGNPilotage"/>
        <s v="HAZIRAGENERALFOREIGNBerth Hire"/>
        <s v="HAZIRAGENERALFOREIGNMooring"/>
        <s v="HAZIRAGENERALFOREIGNPort Env &amp; Safety"/>
        <s v="HAZIRACONTAINERFOREIGNPort Dues"/>
        <s v="HAZIRACONTAINERFOREIGNPilotage"/>
        <s v="HAZIRACONTAINERFOREIGNBerth Hire"/>
        <s v="HAZIRACONTAINERFOREIGNMooring"/>
        <s v="HAZIRACONTAINERFOREIGNPort Env &amp; Safety"/>
        <s v="HAZIRATANKERFOREIGNPort Dues"/>
        <s v="HAZIRATANKERFOREIGNPilotage"/>
        <s v="HAZIRATANKERFOREIGNBerth Hire"/>
        <s v="HAZIRATANKERFOREIGNMooring"/>
        <s v="HAZIRATANKERFOREIGNPort Env &amp; Safety"/>
        <s v="KPCLCONTAINERFOREIGNPort Dues"/>
        <s v="KPCLCONTAINERFOREIGNPilotage"/>
        <s v="KPCLCONTAINERFOREIGNBerth Hire"/>
        <s v="KPCLCONTAINERFOREIGNMooring"/>
        <s v="KPCLCONTAINERFOREIGNPort Env &amp; Safety"/>
        <s v="KPCLCONTAINERCOASTALPort Dues"/>
        <s v="KPCLCONTAINERCOASTALPilotage"/>
        <s v="KPCLCONTAINERCOASTALBerth Hire"/>
        <s v="KPCLCONTAINERCOASTALMooring"/>
        <s v="KPCLCONTAINERCOASTALPort Env &amp; Safety"/>
        <s v="KPCLGENERALFOREIGNPort Dues"/>
        <s v="KPCLGENERALFOREIGNPilotage"/>
        <s v="KPCLGENERALFOREIGNBerth Hire"/>
        <s v="KPCLGENERALFOREIGNMooring"/>
        <s v="KPCLGENERALFOREIGNPort Env &amp; Safety"/>
        <s v="KPCLGENERALCOASTALPort Dues"/>
        <s v="KPCLGENERALCOASTALPilotage"/>
        <s v="KPCLGENERALCOASTALBerth Hire"/>
        <s v="KPCLGENERALCOASTALMooring"/>
        <s v="KPCLGENERALCOASTALPort Env &amp; Safety"/>
        <s v="DIGHIGENERALFOREIGNPort Dues"/>
        <s v="DIGHIGENERALFOREIGNPilotage"/>
        <s v="DIGHIGENERALFOREIGNBerth Hire"/>
        <s v="DIGHIGENERALFOREIGNMooring"/>
        <s v="DIGHIGENERALFOREIGNPort Env &amp; Safety"/>
        <s v="GPLGENERALFOREIGNPort Dues"/>
        <s v="GPLGENERALFOREIGNPilotage"/>
        <s v="GPLGENERALFOREIGNBerth Hire"/>
        <s v="GPLGENERALFOREIGNMooring"/>
        <s v="GPLGENERALFOREIGNPort Env &amp; Safety"/>
        <s v="TUNADRYFOREIGNBerth Hire"/>
        <s v="GOADRYFOREIGNBerth Hire"/>
        <s v="ENNORECONTAINERFOREIGNBerth Hire"/>
        <s v="KPCLPROJECTFOREIGNPort Dues"/>
        <s v="KPCLPROJECTFOREIGNPilotage"/>
        <s v="KPCLPROJECTFOREIGNBerth Hire"/>
        <s v="KPCLPROJECTFOREIGNMooring"/>
        <s v="KPCLPROJECTFOREIGNPort Env &amp; Safety"/>
        <s v="KPCLPROJECTCOASTALPort Dues"/>
        <s v="KPCLPROJECTCOASTALPilotage"/>
        <s v="KPCLPROJECTCOASTALBerth Hire"/>
        <s v="KPCLPROJECTCOASTALMooring"/>
        <s v="KPCLPROJECTCOASTALPort Env &amp; Safety"/>
        <s v="GPLALL VESSELSFOREIGNPort Env &amp; Safety" u="1"/>
        <s v="KrishnapattnamGENERALCOASTALPort Env &amp; Safety" u="1"/>
        <s v="KrishnapattnamGENERALFOREIGNPort Env &amp; Safety" u="1"/>
        <s v="KPCLGLOBALCOASTALMooring" u="1"/>
        <s v="GPLGLOBALFOREIGNBerth Hire" u="1"/>
        <s v="HAZIRAGLOBALFOREIGNMooring" u="1"/>
        <s v="HAZIRAGLOBALFOREIGNBerth Hire" u="1"/>
        <s v="DAHEJNON (COAL &amp; PROJECT)FOREIGNMooring" u="1"/>
        <s v="GPLALL VESSELSFOREIGNMooring" u="1"/>
        <s v="GPLALL VESSELSFOREIGNBerth Hire" u="1"/>
        <s v="KPCLALL VESSELSCOASTALMooring" u="1"/>
        <s v="KPCLGLOBALCOASTALPort Env &amp; Safety" u="1"/>
        <s v="KPCLGLOBALFOREIGNPort Env &amp; Safety" u="1"/>
        <s v="DAHEJALL VESSELSFOREIGNPort Dues" u="1"/>
        <s v="AKPLCONTAINERCOASTALPilotage" u="1"/>
        <s v="MUNDRAALL VESSELSFOREIGNMooring" u="1"/>
        <s v="MUNDRAGLOBALFOREIGNPort Env &amp; Safety" u="1"/>
        <s v="AKPLALL VESSELSCOASTALPort Env &amp; Safety" u="1"/>
        <s v="AKPLALL VESSELSFOREIGNPort Env &amp; Safety" u="1"/>
        <s v="KPCLGLOBALFOREIGNMooring" u="1"/>
        <s v="DAHEJNON (COAL &amp; PROJECT)FOREIGNPilotage" u="1"/>
        <s v="DAHEJALL VESSELSFOREIGNPilotage" u="1"/>
        <s v="AKPLGENERALFOREIGNMooring" u="1"/>
        <s v="DIGHIGLOBALFOREIGNBerth Hire" u="1"/>
        <s v="AKPLALL VESSELSCOASTALPilotage" u="1"/>
        <s v="AKPLALL VESSELSFOREIGNPilotage" u="1"/>
        <s v="DAHEJNON (COAL &amp; PROJECT)FOREIGNPort Dues" u="1"/>
        <s v="MUNDRAALL VESSELSFOREIGNPort Env &amp; Safety" u="1"/>
        <s v="DAHEJALL VESSELSFOREIGNPort Env &amp; Safety" u="1"/>
        <s v="KPCLALL VESSELSFOREIGNMooring" u="1"/>
        <s v="DHAMRAALL VESSELSFOREIGNPort Dues" u="1"/>
        <s v="DHAMRAALL VESSELSFOREIGNPilotage" u="1"/>
        <s v="MUNDRAGLOBALFOREIGNPilotage" u="1"/>
        <s v="KPCLALL VESSELSCOASTALPort Dues" u="1"/>
        <s v="KPCLALL VESSELSFOREIGNPort Dues" u="1"/>
        <s v="DIGHIGLOBALFOREIGNPort Env &amp; Safety" u="1"/>
        <s v="HAZIRAALL VESSELSFOREIGNMooring" u="1"/>
        <s v="HAZIRAGLOBALFOREIGNPort Env &amp; Safety" u="1"/>
        <s v="KrishnapattnamGENERALCOASTALBerth Hire" u="1"/>
        <s v="KrishnapattnamGENERALFOREIGNBerth Hire" u="1"/>
        <s v="DAHEJALL VESSELSFOREIGNMooring" u="1"/>
        <s v="DAHEJALL VESSELSFOREIGNBerth Hire" u="1"/>
        <s v="AKPLGENERALCOASTALBerth Hire" u="1"/>
        <s v="AKPLGENERALFOREIGNBerth Hire" u="1"/>
        <s v="HAZIRAALL VESSELSFOREIGNPort Env &amp; Safety" u="1"/>
        <s v="DAHEJNON (COAL &amp; PROJECT)FOREIGNBerth Hire" u="1"/>
        <s v="AKPLGLOBALCOASTALMooring" u="1"/>
        <s v="DIGHIALL VESSELSFOREIGNPort Dues" u="1"/>
        <s v="KrishnapattnamCONTAINERFOREIGNMooring" u="1"/>
        <s v="DHAMRAALL VESSELSFOREIGNBerth Hire" u="1"/>
        <s v="HAZIRAGLOBALFOREIGNPilotage" u="1"/>
        <s v="DHAMRAGLOBALFOREIGNPort Dues" u="1"/>
        <s v="DIGHIALL VESSELSFOREIGNPilotage" u="1"/>
        <s v="AKPLALL VESSELSCOASTALMooring" u="1"/>
        <s v="AKPLGLOBALCOASTALPort Env &amp; Safety" u="1"/>
        <s v="AKPLGLOBALFOREIGNPort Env &amp; Safety" u="1"/>
        <s v="AKPLGENERALCOASTALPort Env &amp; Safety" u="1"/>
        <s v="AKPLGENERALFOREIGNPort Env &amp; Safety" u="1"/>
        <s v="KPCLGLOBALFOREIGNPilotage" u="1"/>
        <s v="AKPLGLOBALFOREIGNMooring" u="1"/>
        <s v="GPLGLOBALFOREIGNPort Dues" u="1"/>
        <s v="MUNDRAALL VESSELSFOREIGNPort Dues" u="1"/>
        <s v="KrishnapattnamCONTAINERCOASTALBerth Hire" u="1"/>
        <s v="KrishnapattnamCONTAINERFOREIGNBerth Hire" u="1"/>
        <s v="DIGHIALL VESSELSFOREIGNPort Env &amp; Safety" u="1"/>
        <s v="MUNDRAALL VESSELSFOREIGNPilotage" u="1"/>
        <s v="DHAMRAGLOBALFOREIGNMooring" u="1"/>
        <s v="KPCLGLOBALCOASTALPort Dues" u="1"/>
        <s v="KPCLGLOBALFOREIGNPort Dues" u="1"/>
        <s v="DHAMRAGLOBALFOREIGNBerth Hire" u="1"/>
        <s v="AKPLALL VESSELSFOREIGNMooring" u="1"/>
        <s v="GPLGLOBALFOREIGNPort Env &amp; Safety" u="1"/>
        <s v="AKPLGENERALCOASTALMooring" u="1"/>
        <s v="AKPLCONTAINERFOREIGNPilotage" u="1"/>
        <s v="KPCLGLOBALCOASTALBerth Hire" u="1"/>
        <s v="KPCLGLOBALFOREIGNBerth Hire" u="1"/>
        <s v="KPCLGLOBALCOASTALPilotage" u="1"/>
        <s v="KPCLALL VESSELSCOASTALBerth Hire" u="1"/>
        <s v="KPCLALL VESSELSFOREIGNBerth Hire" u="1"/>
        <s v="GPLGLOBALFOREIGNMooring" u="1"/>
        <s v="DAHEJNON (COAL &amp; PROJECT)FOREIGNPort Env &amp; Safety" u="1"/>
        <s v="DIGHIALL VESSELSFOREIGNMooring" u="1"/>
        <s v="DIGHIALL VESSELSFOREIGNBerth Hire" u="1"/>
        <s v="KrishnapattnamCONTAINERCOASTALPort Env &amp; Safety" u="1"/>
        <s v="KrishnapattnamCONTAINERFOREIGNPort Env &amp; Safety" u="1"/>
        <s v="AKPLCONTAINERCOASTALBerth Hire" u="1"/>
        <s v="AKPLCONTAINERFOREIGNBerth Hire" u="1"/>
        <s v="HAZIRAALL VESSELSFOREIGNPort Dues" u="1"/>
        <s v="MUNDRAALL VESSELSFOREIGNBerth Hire" u="1"/>
        <s v="HAZIRAALL VESSELSFOREIGNPilotage" u="1"/>
        <s v="MUNDRAGLOBALFOREIGNPort Dues" u="1"/>
        <s v="DIGHIGLOBALFOREIGNPilotage" u="1"/>
        <s v="KPCLALL VESSELSCOASTALPort Env &amp; Safety" u="1"/>
        <s v="KPCLALL VESSELSFOREIGNPort Env &amp; Safety" u="1"/>
        <s v="KrishnapattnamGENERALFOREIGNPilotage" u="1"/>
        <s v="KrishnapattnamCONTAINERCOASTALPilotage" u="1"/>
        <s v="AKPLCONTAINERCOASTALPort Env &amp; Safety" u="1"/>
        <s v="AKPLCONTAINERFOREIGNPort Env &amp; Safety" u="1"/>
        <s v="KrishnapattnamGENERALCOASTALPilotage" u="1"/>
        <s v="GPLALL VESSELSFOREIGNPilotage" u="1"/>
        <s v="KPCLALL VESSELSCOASTALPilotage" u="1"/>
        <s v="KPCLALL VESSELSFOREIGNPilotage" u="1"/>
        <s v="KrishnapattnamCONTAINERFOREIGNPilotage" u="1"/>
        <s v="DHAMRAALL VESSELSFOREIGNMooring" u="1"/>
        <s v="DHAMRAGLOBALFOREIGNPort Env &amp; Safety" u="1"/>
        <s v="MUNDRAGLOBALFOREIGNMooring" u="1"/>
        <s v="AKPLGLOBALFOREIGNPilotage" u="1"/>
        <s v="MUNDRAGLOBALFOREIGNBerth Hire" u="1"/>
        <s v="AKPLCONTAINERCOASTALMooring" u="1"/>
        <s v="AKPLCONTAINERFOREIGNMooring" u="1"/>
        <s v="HAZIRAALL VESSELSFOREIGNBerth Hire" u="1"/>
        <s v="DHAMRAALL VESSELSFOREIGNPort Env &amp; Safety" u="1"/>
        <s v="KrishnapattnamGENERALCOASTALMooring" u="1"/>
        <s v="HAZIRAGLOBALFOREIGNPort Dues" u="1"/>
        <s v="AKPLGENERALCOASTALPilotage" u="1"/>
        <s v="KrishnapattnamGENERALFOREIGNMooring" u="1"/>
        <s v="DIGHIGLOBALFOREIGNMooring" u="1"/>
        <s v="AKPLGENERALFOREIGNPilotage" u="1"/>
        <s v="DHAMRAGLOBALFOREIGNPilotage" u="1"/>
        <s v="DIGHIGLOBALFOREIGNPort Dues" u="1"/>
        <s v="GPLALL VESSELSFOREIGNPort Dues" u="1"/>
        <s v="KrishnapattnamCONTAINERCOASTALMooring" u="1"/>
        <s v="GPLGLOBALFOREIGNPilotage" u="1"/>
        <s v="AKPLGLOBALCOASTALBerth Hire" u="1"/>
        <s v="AKPLGLOBALFOREIGNBerth Hire" u="1"/>
        <s v="AKPLGLOBALCOASTALPilotage" u="1"/>
        <s v="AKPLALL VESSELSCOASTALBerth Hire" u="1"/>
        <s v="AKPLALL VESSELSFOREIGNBerth Hire" u="1"/>
      </sharedItems>
    </cacheField>
    <cacheField name="Tariff" numFmtId="0">
      <sharedItems containsSemiMixedTypes="0" containsString="0" containsNumber="1" minValue="3.1099999999999999E-3" maxValue="350"/>
    </cacheField>
    <cacheField name="Min Charges" numFmtId="0">
      <sharedItems containsString="0" containsBlank="1" containsNumber="1" minValue="0" maxValue="36600"/>
    </cacheField>
    <cacheField name="TARIFF CURR" numFmtId="0">
      <sharedItems/>
    </cacheField>
  </cacheFields>
  <extLst>
    <ext xmlns:x14="http://schemas.microsoft.com/office/spreadsheetml/2009/9/main" uri="{725AE2AE-9491-48be-B2B4-4EB974FC3084}">
      <x14:pivotCacheDefinition pivotCacheId="154265103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n v="1"/>
  </r>
  <r>
    <x v="1"/>
    <n v="7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r>
  <r>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x v="0"/>
    <x v="0"/>
    <x v="0"/>
    <x v="0"/>
    <x v="0"/>
    <n v="5.4179999999999999E-2"/>
    <n v="275"/>
    <s v="USD"/>
  </r>
  <r>
    <x v="0"/>
    <x v="0"/>
    <x v="0"/>
    <x v="0"/>
    <x v="1"/>
    <x v="1"/>
    <n v="0.82530000000000003"/>
    <n v="13125"/>
    <s v="USD"/>
  </r>
  <r>
    <x v="0"/>
    <x v="0"/>
    <x v="0"/>
    <x v="0"/>
    <x v="2"/>
    <x v="2"/>
    <n v="9.1350000000000008E-3"/>
    <n v="640"/>
    <s v="USD"/>
  </r>
  <r>
    <x v="0"/>
    <x v="0"/>
    <x v="0"/>
    <x v="0"/>
    <x v="3"/>
    <x v="3"/>
    <n v="3.4720000000000001E-2"/>
    <n v="200"/>
    <s v="USD"/>
  </r>
  <r>
    <x v="0"/>
    <x v="0"/>
    <x v="0"/>
    <x v="0"/>
    <x v="4"/>
    <x v="4"/>
    <n v="200"/>
    <n v="0"/>
    <s v="USD"/>
  </r>
  <r>
    <x v="0"/>
    <x v="1"/>
    <x v="0"/>
    <x v="0"/>
    <x v="0"/>
    <x v="5"/>
    <n v="0.26800000000000002"/>
    <n v="1200"/>
    <s v="USD"/>
  </r>
  <r>
    <x v="0"/>
    <x v="1"/>
    <x v="0"/>
    <x v="0"/>
    <x v="1"/>
    <x v="6"/>
    <n v="0.92249999999999999"/>
    <n v="615"/>
    <s v="USD"/>
  </r>
  <r>
    <x v="0"/>
    <x v="1"/>
    <x v="0"/>
    <x v="0"/>
    <x v="2"/>
    <x v="7"/>
    <n v="8.7899999999999992E-3"/>
    <n v="820"/>
    <s v="USD"/>
  </r>
  <r>
    <x v="0"/>
    <x v="1"/>
    <x v="0"/>
    <x v="0"/>
    <x v="3"/>
    <x v="8"/>
    <n v="3.4720000000000001E-2"/>
    <n v="200"/>
    <s v="USD"/>
  </r>
  <r>
    <x v="0"/>
    <x v="1"/>
    <x v="0"/>
    <x v="0"/>
    <x v="4"/>
    <x v="9"/>
    <n v="200"/>
    <n v="0"/>
    <s v="USD"/>
  </r>
  <r>
    <x v="0"/>
    <x v="1"/>
    <x v="1"/>
    <x v="0"/>
    <x v="0"/>
    <x v="10"/>
    <n v="0.26800000000000002"/>
    <n v="1200"/>
    <s v="USD"/>
  </r>
  <r>
    <x v="0"/>
    <x v="1"/>
    <x v="1"/>
    <x v="0"/>
    <x v="1"/>
    <x v="11"/>
    <n v="1.5580000000000001"/>
    <n v="925"/>
    <s v="USD"/>
  </r>
  <r>
    <x v="0"/>
    <x v="1"/>
    <x v="1"/>
    <x v="0"/>
    <x v="2"/>
    <x v="12"/>
    <n v="1.9349999999999999E-2"/>
    <n v="820"/>
    <s v="USD"/>
  </r>
  <r>
    <x v="0"/>
    <x v="1"/>
    <x v="1"/>
    <x v="0"/>
    <x v="3"/>
    <x v="13"/>
    <n v="3.4720000000000001E-2"/>
    <n v="200"/>
    <s v="USD"/>
  </r>
  <r>
    <x v="0"/>
    <x v="1"/>
    <x v="1"/>
    <x v="0"/>
    <x v="4"/>
    <x v="14"/>
    <n v="200"/>
    <n v="0"/>
    <s v="USD"/>
  </r>
  <r>
    <x v="0"/>
    <x v="2"/>
    <x v="0"/>
    <x v="0"/>
    <x v="0"/>
    <x v="15"/>
    <n v="5.4179999999999999E-2"/>
    <n v="275"/>
    <s v="USD"/>
  </r>
  <r>
    <x v="0"/>
    <x v="2"/>
    <x v="0"/>
    <x v="0"/>
    <x v="1"/>
    <x v="16"/>
    <n v="1.9731000000000001"/>
    <n v="0"/>
    <s v="USD"/>
  </r>
  <r>
    <x v="0"/>
    <x v="2"/>
    <x v="0"/>
    <x v="0"/>
    <x v="2"/>
    <x v="17"/>
    <n v="0.01"/>
    <n v="720"/>
    <s v="USD"/>
  </r>
  <r>
    <x v="0"/>
    <x v="2"/>
    <x v="0"/>
    <x v="0"/>
    <x v="3"/>
    <x v="18"/>
    <n v="3.4720000000000001E-2"/>
    <n v="0"/>
    <s v="USD"/>
  </r>
  <r>
    <x v="0"/>
    <x v="2"/>
    <x v="0"/>
    <x v="0"/>
    <x v="4"/>
    <x v="19"/>
    <n v="350"/>
    <m/>
    <s v="USD"/>
  </r>
  <r>
    <x v="0"/>
    <x v="3"/>
    <x v="2"/>
    <x v="0"/>
    <x v="1"/>
    <x v="20"/>
    <n v="0.622"/>
    <n v="3050"/>
    <s v="USD"/>
  </r>
  <r>
    <x v="0"/>
    <x v="3"/>
    <x v="2"/>
    <x v="0"/>
    <x v="2"/>
    <x v="21"/>
    <n v="3.5000000000000001E-3"/>
    <n v="732"/>
    <s v="USD"/>
  </r>
  <r>
    <x v="0"/>
    <x v="3"/>
    <x v="2"/>
    <x v="1"/>
    <x v="1"/>
    <x v="22"/>
    <n v="17.079999999999998"/>
    <n v="36600"/>
    <s v="INR"/>
  </r>
  <r>
    <x v="0"/>
    <x v="3"/>
    <x v="2"/>
    <x v="1"/>
    <x v="2"/>
    <x v="23"/>
    <n v="0.1"/>
    <n v="12200"/>
    <s v="INR"/>
  </r>
  <r>
    <x v="0"/>
    <x v="3"/>
    <x v="2"/>
    <x v="0"/>
    <x v="3"/>
    <x v="24"/>
    <n v="3.5000000000000003E-2"/>
    <n v="200"/>
    <s v="USD"/>
  </r>
  <r>
    <x v="0"/>
    <x v="3"/>
    <x v="2"/>
    <x v="1"/>
    <x v="3"/>
    <x v="25"/>
    <n v="3.5000000000000003E-2"/>
    <n v="200"/>
    <s v="USD"/>
  </r>
  <r>
    <x v="0"/>
    <x v="3"/>
    <x v="2"/>
    <x v="0"/>
    <x v="4"/>
    <x v="26"/>
    <n v="200"/>
    <n v="0"/>
    <s v="USD"/>
  </r>
  <r>
    <x v="0"/>
    <x v="3"/>
    <x v="2"/>
    <x v="1"/>
    <x v="4"/>
    <x v="27"/>
    <n v="200"/>
    <n v="0"/>
    <s v="USD"/>
  </r>
  <r>
    <x v="0"/>
    <x v="3"/>
    <x v="0"/>
    <x v="0"/>
    <x v="1"/>
    <x v="28"/>
    <n v="0.73199999999999998"/>
    <n v="3294"/>
    <s v="USD"/>
  </r>
  <r>
    <x v="0"/>
    <x v="3"/>
    <x v="0"/>
    <x v="0"/>
    <x v="2"/>
    <x v="29"/>
    <n v="4.8999999999999998E-3"/>
    <n v="732"/>
    <s v="USD"/>
  </r>
  <r>
    <x v="0"/>
    <x v="3"/>
    <x v="0"/>
    <x v="1"/>
    <x v="1"/>
    <x v="30"/>
    <n v="17.079999999999998"/>
    <n v="36600"/>
    <s v="INR"/>
  </r>
  <r>
    <x v="0"/>
    <x v="3"/>
    <x v="0"/>
    <x v="1"/>
    <x v="2"/>
    <x v="31"/>
    <n v="0.12"/>
    <n v="12200"/>
    <s v="INR"/>
  </r>
  <r>
    <x v="0"/>
    <x v="3"/>
    <x v="0"/>
    <x v="0"/>
    <x v="3"/>
    <x v="32"/>
    <n v="3.5000000000000003E-2"/>
    <n v="200"/>
    <s v="USD"/>
  </r>
  <r>
    <x v="0"/>
    <x v="3"/>
    <x v="0"/>
    <x v="1"/>
    <x v="3"/>
    <x v="33"/>
    <n v="3.5000000000000003E-2"/>
    <n v="200"/>
    <s v="USD"/>
  </r>
  <r>
    <x v="0"/>
    <x v="3"/>
    <x v="0"/>
    <x v="0"/>
    <x v="4"/>
    <x v="34"/>
    <n v="200"/>
    <n v="0"/>
    <s v="USD"/>
  </r>
  <r>
    <x v="0"/>
    <x v="3"/>
    <x v="0"/>
    <x v="1"/>
    <x v="4"/>
    <x v="35"/>
    <n v="200"/>
    <n v="0"/>
    <s v="USD"/>
  </r>
  <r>
    <x v="0"/>
    <x v="4"/>
    <x v="3"/>
    <x v="0"/>
    <x v="0"/>
    <x v="36"/>
    <n v="0.34539999999999998"/>
    <n v="0"/>
    <s v="USD"/>
  </r>
  <r>
    <x v="0"/>
    <x v="4"/>
    <x v="3"/>
    <x v="0"/>
    <x v="1"/>
    <x v="37"/>
    <n v="0.59550000000000003"/>
    <n v="0"/>
    <s v="USD"/>
  </r>
  <r>
    <x v="0"/>
    <x v="4"/>
    <x v="0"/>
    <x v="0"/>
    <x v="0"/>
    <x v="38"/>
    <n v="5.2999999999999999E-2"/>
    <n v="375"/>
    <s v="USD"/>
  </r>
  <r>
    <x v="0"/>
    <x v="4"/>
    <x v="0"/>
    <x v="0"/>
    <x v="1"/>
    <x v="39"/>
    <n v="1.01"/>
    <n v="16275"/>
    <s v="USD"/>
  </r>
  <r>
    <x v="0"/>
    <x v="4"/>
    <x v="0"/>
    <x v="0"/>
    <x v="2"/>
    <x v="40"/>
    <n v="8.5000000000000006E-3"/>
    <n v="438.6"/>
    <s v="USD"/>
  </r>
  <r>
    <x v="0"/>
    <x v="4"/>
    <x v="0"/>
    <x v="0"/>
    <x v="3"/>
    <x v="41"/>
    <n v="3.4720000000000001E-2"/>
    <n v="200"/>
    <s v="USD"/>
  </r>
  <r>
    <x v="0"/>
    <x v="4"/>
    <x v="0"/>
    <x v="0"/>
    <x v="4"/>
    <x v="42"/>
    <n v="200"/>
    <n v="0"/>
    <s v="USD"/>
  </r>
  <r>
    <x v="0"/>
    <x v="4"/>
    <x v="2"/>
    <x v="0"/>
    <x v="0"/>
    <x v="43"/>
    <n v="5.2999999999999999E-2"/>
    <n v="375"/>
    <s v="USD"/>
  </r>
  <r>
    <x v="0"/>
    <x v="4"/>
    <x v="2"/>
    <x v="0"/>
    <x v="1"/>
    <x v="44"/>
    <n v="0.84"/>
    <n v="7610"/>
    <s v="USD"/>
  </r>
  <r>
    <x v="0"/>
    <x v="4"/>
    <x v="2"/>
    <x v="0"/>
    <x v="2"/>
    <x v="45"/>
    <n v="8.5000000000000006E-3"/>
    <n v="438.6"/>
    <s v="USD"/>
  </r>
  <r>
    <x v="0"/>
    <x v="4"/>
    <x v="2"/>
    <x v="0"/>
    <x v="3"/>
    <x v="46"/>
    <n v="3.4720000000000001E-2"/>
    <n v="200"/>
    <s v="USD"/>
  </r>
  <r>
    <x v="0"/>
    <x v="4"/>
    <x v="2"/>
    <x v="0"/>
    <x v="4"/>
    <x v="47"/>
    <n v="200"/>
    <n v="0"/>
    <s v="USD"/>
  </r>
  <r>
    <x v="0"/>
    <x v="4"/>
    <x v="4"/>
    <x v="0"/>
    <x v="0"/>
    <x v="48"/>
    <n v="5.2999999999999999E-2"/>
    <n v="375"/>
    <s v="USD"/>
  </r>
  <r>
    <x v="0"/>
    <x v="4"/>
    <x v="4"/>
    <x v="0"/>
    <x v="1"/>
    <x v="49"/>
    <n v="1.07"/>
    <n v="16275"/>
    <s v="USD"/>
  </r>
  <r>
    <x v="0"/>
    <x v="4"/>
    <x v="4"/>
    <x v="0"/>
    <x v="2"/>
    <x v="50"/>
    <n v="8.5000000000000006E-3"/>
    <n v="438.6"/>
    <s v="USD"/>
  </r>
  <r>
    <x v="0"/>
    <x v="4"/>
    <x v="4"/>
    <x v="0"/>
    <x v="3"/>
    <x v="51"/>
    <n v="3.4720000000000001E-2"/>
    <n v="200"/>
    <s v="USD"/>
  </r>
  <r>
    <x v="0"/>
    <x v="4"/>
    <x v="4"/>
    <x v="0"/>
    <x v="4"/>
    <x v="52"/>
    <n v="200"/>
    <n v="0"/>
    <s v="USD"/>
  </r>
  <r>
    <x v="0"/>
    <x v="5"/>
    <x v="2"/>
    <x v="0"/>
    <x v="0"/>
    <x v="53"/>
    <n v="2.2179999999999998E-2"/>
    <n v="0"/>
    <s v="USD"/>
  </r>
  <r>
    <x v="0"/>
    <x v="5"/>
    <x v="2"/>
    <x v="0"/>
    <x v="1"/>
    <x v="54"/>
    <n v="0.74292000000000002"/>
    <m/>
    <s v="USD"/>
  </r>
  <r>
    <x v="0"/>
    <x v="5"/>
    <x v="2"/>
    <x v="0"/>
    <x v="2"/>
    <x v="55"/>
    <n v="3.1099999999999999E-3"/>
    <n v="325"/>
    <s v="USD"/>
  </r>
  <r>
    <x v="0"/>
    <x v="5"/>
    <x v="2"/>
    <x v="0"/>
    <x v="3"/>
    <x v="56"/>
    <n v="3.4720000000000001E-2"/>
    <n v="0"/>
    <s v="USD"/>
  </r>
  <r>
    <x v="0"/>
    <x v="5"/>
    <x v="2"/>
    <x v="0"/>
    <x v="4"/>
    <x v="57"/>
    <n v="200"/>
    <n v="0"/>
    <s v="USD"/>
  </r>
  <r>
    <x v="0"/>
    <x v="5"/>
    <x v="2"/>
    <x v="1"/>
    <x v="0"/>
    <x v="58"/>
    <n v="2.2179999999999998E-2"/>
    <n v="0"/>
    <s v="USD"/>
  </r>
  <r>
    <x v="0"/>
    <x v="5"/>
    <x v="2"/>
    <x v="1"/>
    <x v="1"/>
    <x v="59"/>
    <n v="0.74292000000000002"/>
    <m/>
    <s v="USD"/>
  </r>
  <r>
    <x v="0"/>
    <x v="5"/>
    <x v="2"/>
    <x v="1"/>
    <x v="2"/>
    <x v="60"/>
    <n v="3.1099999999999999E-3"/>
    <n v="325"/>
    <s v="USD"/>
  </r>
  <r>
    <x v="0"/>
    <x v="5"/>
    <x v="2"/>
    <x v="1"/>
    <x v="3"/>
    <x v="61"/>
    <n v="3.4720000000000001E-2"/>
    <n v="0"/>
    <s v="USD"/>
  </r>
  <r>
    <x v="0"/>
    <x v="5"/>
    <x v="2"/>
    <x v="1"/>
    <x v="4"/>
    <x v="62"/>
    <n v="200"/>
    <n v="0"/>
    <s v="USD"/>
  </r>
  <r>
    <x v="0"/>
    <x v="5"/>
    <x v="0"/>
    <x v="0"/>
    <x v="0"/>
    <x v="63"/>
    <n v="5.4179999999999999E-2"/>
    <n v="0"/>
    <s v="USD"/>
  </r>
  <r>
    <x v="0"/>
    <x v="5"/>
    <x v="0"/>
    <x v="0"/>
    <x v="1"/>
    <x v="64"/>
    <n v="1.2358199999999999"/>
    <n v="0"/>
    <s v="USD"/>
  </r>
  <r>
    <x v="0"/>
    <x v="5"/>
    <x v="0"/>
    <x v="0"/>
    <x v="2"/>
    <x v="65"/>
    <n v="7.0000000000000001E-3"/>
    <n v="325"/>
    <s v="USD"/>
  </r>
  <r>
    <x v="0"/>
    <x v="5"/>
    <x v="0"/>
    <x v="0"/>
    <x v="3"/>
    <x v="66"/>
    <n v="3.4720000000000001E-2"/>
    <n v="0"/>
    <s v="USD"/>
  </r>
  <r>
    <x v="0"/>
    <x v="5"/>
    <x v="0"/>
    <x v="0"/>
    <x v="4"/>
    <x v="67"/>
    <n v="200"/>
    <n v="0"/>
    <s v="USD"/>
  </r>
  <r>
    <x v="0"/>
    <x v="5"/>
    <x v="0"/>
    <x v="1"/>
    <x v="0"/>
    <x v="68"/>
    <n v="4.3344000000000001E-2"/>
    <n v="0"/>
    <s v="USD"/>
  </r>
  <r>
    <x v="0"/>
    <x v="5"/>
    <x v="0"/>
    <x v="1"/>
    <x v="1"/>
    <x v="69"/>
    <n v="1.1966559999999999"/>
    <n v="0"/>
    <s v="USD"/>
  </r>
  <r>
    <x v="0"/>
    <x v="5"/>
    <x v="0"/>
    <x v="1"/>
    <x v="2"/>
    <x v="70"/>
    <n v="7.0000000000000001E-3"/>
    <n v="325"/>
    <s v="USD"/>
  </r>
  <r>
    <x v="0"/>
    <x v="5"/>
    <x v="0"/>
    <x v="1"/>
    <x v="3"/>
    <x v="71"/>
    <n v="3.4720000000000001E-2"/>
    <n v="0"/>
    <s v="USD"/>
  </r>
  <r>
    <x v="0"/>
    <x v="5"/>
    <x v="0"/>
    <x v="1"/>
    <x v="4"/>
    <x v="72"/>
    <n v="200"/>
    <n v="0"/>
    <s v="USD"/>
  </r>
  <r>
    <x v="0"/>
    <x v="6"/>
    <x v="0"/>
    <x v="0"/>
    <x v="0"/>
    <x v="73"/>
    <n v="6.3500000000000001E-2"/>
    <n v="375"/>
    <s v="USD"/>
  </r>
  <r>
    <x v="0"/>
    <x v="6"/>
    <x v="0"/>
    <x v="0"/>
    <x v="1"/>
    <x v="74"/>
    <n v="1.2064999999999999"/>
    <n v="16295"/>
    <s v="USD"/>
  </r>
  <r>
    <x v="0"/>
    <x v="6"/>
    <x v="0"/>
    <x v="0"/>
    <x v="2"/>
    <x v="75"/>
    <n v="8.5000000000000006E-3"/>
    <n v="495"/>
    <s v="USD"/>
  </r>
  <r>
    <x v="0"/>
    <x v="6"/>
    <x v="0"/>
    <x v="0"/>
    <x v="3"/>
    <x v="76"/>
    <n v="0.1736"/>
    <n v="200"/>
    <s v="USD"/>
  </r>
  <r>
    <x v="0"/>
    <x v="6"/>
    <x v="0"/>
    <x v="0"/>
    <x v="4"/>
    <x v="77"/>
    <n v="200"/>
    <n v="0"/>
    <s v="USD"/>
  </r>
  <r>
    <x v="0"/>
    <x v="7"/>
    <x v="0"/>
    <x v="0"/>
    <x v="0"/>
    <x v="78"/>
    <n v="0.13700000000000001"/>
    <n v="700"/>
    <s v="USD"/>
  </r>
  <r>
    <x v="0"/>
    <x v="7"/>
    <x v="0"/>
    <x v="0"/>
    <x v="1"/>
    <x v="79"/>
    <n v="1.2330000000000001"/>
    <n v="15750"/>
    <s v="USD"/>
  </r>
  <r>
    <x v="0"/>
    <x v="7"/>
    <x v="0"/>
    <x v="0"/>
    <x v="2"/>
    <x v="80"/>
    <n v="1.2E-2"/>
    <n v="900"/>
    <s v="USD"/>
  </r>
  <r>
    <x v="0"/>
    <x v="7"/>
    <x v="0"/>
    <x v="0"/>
    <x v="3"/>
    <x v="81"/>
    <n v="0.03"/>
    <n v="200"/>
    <s v="USD"/>
  </r>
  <r>
    <x v="0"/>
    <x v="7"/>
    <x v="0"/>
    <x v="0"/>
    <x v="4"/>
    <x v="82"/>
    <n v="200"/>
    <n v="0"/>
    <s v="USD"/>
  </r>
  <r>
    <x v="1"/>
    <x v="8"/>
    <x v="5"/>
    <x v="0"/>
    <x v="2"/>
    <x v="83"/>
    <n v="0.65"/>
    <n v="0"/>
    <s v="INR"/>
  </r>
  <r>
    <x v="1"/>
    <x v="9"/>
    <x v="5"/>
    <x v="0"/>
    <x v="2"/>
    <x v="84"/>
    <n v="0.7"/>
    <n v="0"/>
    <s v="INR"/>
  </r>
  <r>
    <x v="1"/>
    <x v="10"/>
    <x v="2"/>
    <x v="0"/>
    <x v="2"/>
    <x v="85"/>
    <n v="1.7600000000000001E-2"/>
    <n v="0"/>
    <s v="USD"/>
  </r>
  <r>
    <x v="0"/>
    <x v="5"/>
    <x v="6"/>
    <x v="0"/>
    <x v="0"/>
    <x v="86"/>
    <n v="2.2179999999999998E-2"/>
    <n v="0"/>
    <s v="USD"/>
  </r>
  <r>
    <x v="0"/>
    <x v="5"/>
    <x v="6"/>
    <x v="0"/>
    <x v="1"/>
    <x v="87"/>
    <n v="0.74292000000000002"/>
    <m/>
    <s v="USD"/>
  </r>
  <r>
    <x v="0"/>
    <x v="5"/>
    <x v="6"/>
    <x v="0"/>
    <x v="2"/>
    <x v="88"/>
    <n v="3.1099999999999999E-3"/>
    <n v="325"/>
    <s v="USD"/>
  </r>
  <r>
    <x v="0"/>
    <x v="5"/>
    <x v="6"/>
    <x v="0"/>
    <x v="3"/>
    <x v="89"/>
    <n v="3.4720000000000001E-2"/>
    <n v="0"/>
    <s v="USD"/>
  </r>
  <r>
    <x v="0"/>
    <x v="5"/>
    <x v="6"/>
    <x v="0"/>
    <x v="4"/>
    <x v="90"/>
    <n v="200"/>
    <n v="0"/>
    <s v="USD"/>
  </r>
  <r>
    <x v="0"/>
    <x v="5"/>
    <x v="6"/>
    <x v="1"/>
    <x v="0"/>
    <x v="91"/>
    <n v="2.2179999999999998E-2"/>
    <n v="0"/>
    <s v="USD"/>
  </r>
  <r>
    <x v="0"/>
    <x v="5"/>
    <x v="6"/>
    <x v="1"/>
    <x v="1"/>
    <x v="92"/>
    <n v="0.74292000000000002"/>
    <m/>
    <s v="USD"/>
  </r>
  <r>
    <x v="0"/>
    <x v="5"/>
    <x v="6"/>
    <x v="1"/>
    <x v="2"/>
    <x v="93"/>
    <n v="3.1099999999999999E-3"/>
    <n v="325"/>
    <s v="USD"/>
  </r>
  <r>
    <x v="0"/>
    <x v="5"/>
    <x v="6"/>
    <x v="1"/>
    <x v="3"/>
    <x v="94"/>
    <n v="3.4720000000000001E-2"/>
    <n v="0"/>
    <s v="USD"/>
  </r>
  <r>
    <x v="0"/>
    <x v="5"/>
    <x v="6"/>
    <x v="1"/>
    <x v="4"/>
    <x v="95"/>
    <n v="200"/>
    <n v="0"/>
    <s v="US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837BB0E-83C5-4824-AD19-4B624F1427E2}" name="CURR"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7:H9" firstHeaderRow="1" firstDataRow="1" firstDataCol="1"/>
  <pivotFields count="2">
    <pivotField axis="axisRow" showAll="0">
      <items count="3">
        <item x="0"/>
        <item h="1" x="1"/>
        <item t="default"/>
      </items>
    </pivotField>
    <pivotField showAll="0"/>
  </pivotFields>
  <rowFields count="1">
    <field x="0"/>
  </rowFields>
  <rowItems count="2">
    <i>
      <x/>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6C112F0-FD20-40BC-8585-10AA10617474}" name="VIEW TARIFF"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7:K9" firstHeaderRow="1" firstDataRow="1" firstDataCol="1"/>
  <pivotFields count="1">
    <pivotField axis="axisRow" showAll="0">
      <items count="3">
        <item h="1" x="1"/>
        <item x="0"/>
        <item t="default"/>
      </items>
    </pivotField>
  </pivotFields>
  <rowFields count="1">
    <field x="0"/>
  </rowFields>
  <rowItems count="2">
    <i>
      <x v="1"/>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1CD3390-0F5D-4F94-8657-D60F955FA16E}" name="VESSEL RUN" cacheId="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P4:P5" firstHeaderRow="1" firstDataRow="1" firstDataCol="1"/>
  <pivotFields count="9">
    <pivotField showAll="0">
      <items count="3">
        <item x="0"/>
        <item h="1" x="1"/>
        <item t="default"/>
      </items>
    </pivotField>
    <pivotField showAll="0">
      <items count="15">
        <item h="1" m="1" x="12"/>
        <item h="1" x="1"/>
        <item x="2"/>
        <item h="1" x="6"/>
        <item h="1" x="10"/>
        <item h="1" x="9"/>
        <item h="1" x="7"/>
        <item h="1" x="4"/>
        <item h="1" x="3"/>
        <item h="1" x="5"/>
        <item h="1" m="1" x="13"/>
        <item h="1" x="0"/>
        <item h="1" x="8"/>
        <item h="1" m="1" x="11"/>
        <item t="default"/>
      </items>
    </pivotField>
    <pivotField showAll="0"/>
    <pivotField axis="axisRow" showAll="0">
      <items count="4">
        <item h="1" x="1"/>
        <item x="0"/>
        <item h="1" m="1" x="2"/>
        <item t="default"/>
      </items>
    </pivotField>
    <pivotField showAll="0"/>
    <pivotField showAll="0"/>
    <pivotField showAll="0"/>
    <pivotField showAll="0"/>
    <pivotField showAll="0"/>
  </pivotFields>
  <rowFields count="1">
    <field x="3"/>
  </rowFields>
  <rowItems count="1">
    <i>
      <x v="1"/>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5D20F9F-C96F-48D9-B51C-CE818C7B0170}" name="PORT OR TERMINAL" cacheId="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P11:P12" firstHeaderRow="1" firstDataRow="1" firstDataCol="1"/>
  <pivotFields count="9">
    <pivotField axis="axisRow" showAll="0">
      <items count="3">
        <item x="0"/>
        <item h="1" x="1"/>
        <item t="default"/>
      </items>
    </pivotField>
    <pivotField showAll="0">
      <items count="15">
        <item h="1" m="1" x="12"/>
        <item h="1" x="1"/>
        <item x="2"/>
        <item h="1" x="6"/>
        <item h="1" x="10"/>
        <item h="1" x="9"/>
        <item h="1" x="7"/>
        <item h="1" x="4"/>
        <item h="1" x="3"/>
        <item h="1" x="5"/>
        <item h="1" m="1" x="13"/>
        <item h="1" x="0"/>
        <item h="1" x="8"/>
        <item h="1" m="1" x="11"/>
        <item t="default"/>
      </items>
    </pivotField>
    <pivotField showAll="0"/>
    <pivotField showAll="0">
      <items count="4">
        <item h="1" x="1"/>
        <item x="0"/>
        <item h="1" m="1" x="2"/>
        <item t="default"/>
      </items>
    </pivotField>
    <pivotField showAll="0"/>
    <pivotField showAll="0"/>
    <pivotField showAll="0"/>
    <pivotField showAll="0"/>
    <pivotField showAll="0"/>
  </pivotFields>
  <rowFields count="1">
    <field x="0"/>
  </rowFields>
  <rowItems count="1">
    <i>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8918972-1F13-4612-AC49-D1EDCA9EBFC8}" name="PORTS" cacheId="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L4:L5" firstHeaderRow="1" firstDataRow="1" firstDataCol="1"/>
  <pivotFields count="9">
    <pivotField showAll="0">
      <items count="3">
        <item x="0"/>
        <item h="1" x="1"/>
        <item t="default"/>
      </items>
    </pivotField>
    <pivotField axis="axisRow" showAll="0">
      <items count="15">
        <item h="1" x="0"/>
        <item h="1" x="4"/>
        <item h="1" x="1"/>
        <item h="1" x="6"/>
        <item x="2"/>
        <item h="1" x="7"/>
        <item h="1" x="5"/>
        <item h="1" x="3"/>
        <item h="1" x="8"/>
        <item h="1" x="9"/>
        <item h="1" x="10"/>
        <item h="1" m="1" x="11"/>
        <item h="1" m="1" x="12"/>
        <item h="1" m="1" x="13"/>
        <item t="default"/>
      </items>
    </pivotField>
    <pivotField showAll="0"/>
    <pivotField showAll="0">
      <items count="4">
        <item h="1" x="1"/>
        <item x="0"/>
        <item h="1" m="1" x="2"/>
        <item t="default"/>
      </items>
    </pivotField>
    <pivotField showAll="0"/>
    <pivotField showAll="0"/>
    <pivotField showAll="0"/>
    <pivotField showAll="0"/>
    <pivotField showAll="0"/>
  </pivotFields>
  <rowFields count="1">
    <field x="1"/>
  </rowFields>
  <rowItems count="1">
    <i>
      <x v="4"/>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557A5FC-CFA2-48C2-8348-D6D71EA8333F}" name="VESSEL TYPE" cacheId="5"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N4:N5" firstHeaderRow="1" firstDataRow="1" firstDataCol="1"/>
  <pivotFields count="9">
    <pivotField showAll="0">
      <items count="3">
        <item x="0"/>
        <item h="1" x="1"/>
        <item t="default"/>
      </items>
    </pivotField>
    <pivotField showAll="0">
      <items count="15">
        <item h="1" m="1" x="12"/>
        <item h="1" x="1"/>
        <item x="2"/>
        <item h="1" x="6"/>
        <item h="1" x="10"/>
        <item h="1" x="9"/>
        <item h="1" x="7"/>
        <item h="1" x="4"/>
        <item h="1" x="3"/>
        <item h="1" x="5"/>
        <item h="1" m="1" x="13"/>
        <item h="1" x="0"/>
        <item h="1" x="8"/>
        <item h="1" m="1" x="11"/>
        <item t="default"/>
      </items>
    </pivotField>
    <pivotField axis="axisRow" showAll="0">
      <items count="13">
        <item h="1" m="1" x="10"/>
        <item h="1" m="1" x="9"/>
        <item h="1" x="1"/>
        <item h="1" m="1" x="11"/>
        <item h="1" m="1" x="7"/>
        <item h="1" x="5"/>
        <item h="1" x="2"/>
        <item h="1" m="1" x="8"/>
        <item h="1" x="3"/>
        <item h="1" x="4"/>
        <item x="0"/>
        <item h="1" x="6"/>
        <item t="default"/>
      </items>
    </pivotField>
    <pivotField showAll="0">
      <items count="4">
        <item h="1" x="1"/>
        <item x="0"/>
        <item h="1" m="1" x="2"/>
        <item t="default"/>
      </items>
    </pivotField>
    <pivotField showAll="0"/>
    <pivotField showAll="0"/>
    <pivotField showAll="0"/>
    <pivotField showAll="0"/>
    <pivotField showAll="0"/>
  </pivotFields>
  <rowFields count="1">
    <field x="2"/>
  </rowFields>
  <rowItems count="1">
    <i>
      <x v="10"/>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D546F969-9418-4FDD-9FA4-4362187210DE}" name="PivotTable3" cacheId="5"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2:H108" firstHeaderRow="0" firstDataRow="1" firstDataCol="6"/>
  <pivotFields count="9">
    <pivotField axis="axisRow" compact="0" outline="0" showAll="0" defaultSubtotal="0">
      <items count="2">
        <item x="0"/>
        <item x="1"/>
      </items>
      <extLst>
        <ext xmlns:x14="http://schemas.microsoft.com/office/spreadsheetml/2009/9/main" uri="{2946ED86-A175-432a-8AC1-64E0C546D7DE}">
          <x14:pivotField fillDownLabels="1"/>
        </ext>
      </extLst>
    </pivotField>
    <pivotField axis="axisRow" compact="0" outline="0" showAll="0" defaultSubtotal="0">
      <items count="14">
        <item m="1" x="12"/>
        <item x="1"/>
        <item x="2"/>
        <item x="6"/>
        <item x="10"/>
        <item x="9"/>
        <item x="7"/>
        <item x="4"/>
        <item x="3"/>
        <item x="5"/>
        <item x="0"/>
        <item x="8"/>
        <item m="1" x="11"/>
        <item m="1" x="13"/>
      </items>
      <extLst>
        <ext xmlns:x14="http://schemas.microsoft.com/office/spreadsheetml/2009/9/main" uri="{2946ED86-A175-432a-8AC1-64E0C546D7DE}">
          <x14:pivotField fillDownLabels="1"/>
        </ext>
      </extLst>
    </pivotField>
    <pivotField axis="axisRow" compact="0" outline="0" showAll="0" defaultSubtotal="0">
      <items count="12">
        <item m="1" x="10"/>
        <item x="1"/>
        <item x="2"/>
        <item x="5"/>
        <item m="1" x="8"/>
        <item x="3"/>
        <item m="1" x="9"/>
        <item m="1" x="11"/>
        <item x="4"/>
        <item m="1" x="7"/>
        <item x="0"/>
        <item x="6"/>
      </items>
      <extLst>
        <ext xmlns:x14="http://schemas.microsoft.com/office/spreadsheetml/2009/9/main" uri="{2946ED86-A175-432a-8AC1-64E0C546D7DE}">
          <x14:pivotField fillDownLabels="1"/>
        </ext>
      </extLst>
    </pivotField>
    <pivotField axis="axisRow" compact="0" outline="0" showAll="0" defaultSubtotal="0">
      <items count="3">
        <item x="1"/>
        <item x="0"/>
        <item m="1" x="2"/>
      </items>
      <extLst>
        <ext xmlns:x14="http://schemas.microsoft.com/office/spreadsheetml/2009/9/main" uri="{2946ED86-A175-432a-8AC1-64E0C546D7DE}">
          <x14:pivotField fillDownLabels="1"/>
        </ext>
      </extLst>
    </pivotField>
    <pivotField axis="axisRow" compact="0" outline="0" showAll="0" defaultSubtotal="0">
      <items count="5">
        <item x="2"/>
        <item x="3"/>
        <item x="1"/>
        <item x="0"/>
        <item x="4"/>
      </items>
      <extLst>
        <ext xmlns:x14="http://schemas.microsoft.com/office/spreadsheetml/2009/9/main" uri="{2946ED86-A175-432a-8AC1-64E0C546D7DE}">
          <x14:pivotField fillDownLabels="1"/>
        </ext>
      </extLst>
    </pivotField>
    <pivotField axis="axisRow" compact="0" outline="0" showAll="0" defaultSubtotal="0">
      <items count="224">
        <item m="1" x="181"/>
        <item m="1" x="204"/>
        <item m="1" x="110"/>
        <item m="1" x="192"/>
        <item m="1" x="182"/>
        <item m="1" x="205"/>
        <item m="1" x="169"/>
        <item m="1" x="193"/>
        <item m="1" x="219"/>
        <item m="1" x="142"/>
        <item m="1" x="221"/>
        <item m="1" x="150"/>
        <item m="1" x="220"/>
        <item m="1" x="155"/>
        <item m="1" x="202"/>
        <item m="1" x="151"/>
        <item x="12"/>
        <item x="13"/>
        <item x="11"/>
        <item x="10"/>
        <item x="14"/>
        <item m="1" x="141"/>
        <item m="1" x="103"/>
        <item m="1" x="116"/>
        <item m="1" x="122"/>
        <item m="1" x="176"/>
        <item m="1" x="165"/>
        <item m="1" x="162"/>
        <item m="1" x="214"/>
        <item m="1" x="147"/>
        <item m="1" x="200"/>
        <item m="1" x="119"/>
        <item m="1" x="212"/>
        <item m="1" x="187"/>
        <item m="1" x="215"/>
        <item m="1" x="131"/>
        <item x="85"/>
        <item x="84"/>
        <item m="1" x="100"/>
        <item m="1" x="175"/>
        <item m="1" x="218"/>
        <item m="1" x="156"/>
        <item m="1" x="167"/>
        <item x="45"/>
        <item x="46"/>
        <item x="44"/>
        <item x="43"/>
        <item x="47"/>
        <item m="1" x="102"/>
        <item m="1" x="101"/>
        <item m="1" x="146"/>
        <item m="1" x="209"/>
        <item m="1" x="133"/>
        <item x="37"/>
        <item x="36"/>
        <item x="50"/>
        <item x="51"/>
        <item x="49"/>
        <item x="48"/>
        <item x="52"/>
        <item x="60"/>
        <item x="61"/>
        <item x="59"/>
        <item x="58"/>
        <item x="62"/>
        <item x="55"/>
        <item x="56"/>
        <item x="54"/>
        <item x="53"/>
        <item x="57"/>
        <item m="1" x="170"/>
        <item m="1" x="99"/>
        <item m="1" x="172"/>
        <item m="1" x="163"/>
        <item m="1" x="107"/>
        <item m="1" x="171"/>
        <item m="1" x="115"/>
        <item m="1" x="154"/>
        <item m="1" x="164"/>
        <item m="1" x="108"/>
        <item m="1" x="203"/>
        <item m="1" x="201"/>
        <item m="1" x="128"/>
        <item m="1" x="186"/>
        <item m="1" x="112"/>
        <item x="83"/>
        <item m="1" x="157"/>
        <item m="1" x="161"/>
        <item m="1" x="184"/>
        <item m="1" x="111"/>
        <item m="1" x="123"/>
        <item m="1" x="109"/>
        <item m="1" x="117"/>
        <item m="1" x="137"/>
        <item m="1" x="136"/>
        <item m="1" x="124"/>
        <item m="1" x="126"/>
        <item m="1" x="127"/>
        <item m="1" x="145"/>
        <item m="1" x="199"/>
        <item m="1" x="207"/>
        <item m="1" x="121"/>
        <item m="1" x="223"/>
        <item m="1" x="120"/>
        <item m="1" x="222"/>
        <item m="1" x="166"/>
        <item m="1" x="149"/>
        <item m="1" x="114"/>
        <item m="1" x="113"/>
        <item m="1" x="183"/>
        <item m="1" x="185"/>
        <item m="1" x="206"/>
        <item m="1" x="132"/>
        <item m="1" x="140"/>
        <item m="1" x="130"/>
        <item m="1" x="197"/>
        <item m="1" x="174"/>
        <item m="1" x="125"/>
        <item m="1" x="189"/>
        <item m="1" x="129"/>
        <item m="1" x="196"/>
        <item m="1" x="173"/>
        <item m="1" x="106"/>
        <item m="1" x="188"/>
        <item m="1" x="143"/>
        <item m="1" x="148"/>
        <item m="1" x="178"/>
        <item m="1" x="177"/>
        <item m="1" x="160"/>
        <item m="1" x="216"/>
        <item m="1" x="195"/>
        <item m="1" x="105"/>
        <item m="1" x="104"/>
        <item m="1" x="96"/>
        <item x="0"/>
        <item x="1"/>
        <item x="2"/>
        <item x="3"/>
        <item x="4"/>
        <item x="5"/>
        <item x="6"/>
        <item x="7"/>
        <item x="8"/>
        <item x="9"/>
        <item x="15"/>
        <item x="16"/>
        <item x="17"/>
        <item x="18"/>
        <item x="19"/>
        <item m="1" x="213"/>
        <item m="1" x="139"/>
        <item m="1" x="210"/>
        <item m="1" x="138"/>
        <item m="1" x="118"/>
        <item m="1" x="168"/>
        <item m="1" x="153"/>
        <item m="1" x="152"/>
        <item x="38"/>
        <item x="39"/>
        <item x="40"/>
        <item x="41"/>
        <item x="42"/>
        <item x="63"/>
        <item x="64"/>
        <item x="65"/>
        <item x="66"/>
        <item x="67"/>
        <item x="68"/>
        <item x="69"/>
        <item x="70"/>
        <item x="71"/>
        <item x="72"/>
        <item x="73"/>
        <item x="74"/>
        <item x="75"/>
        <item x="76"/>
        <item x="77"/>
        <item x="78"/>
        <item x="79"/>
        <item x="80"/>
        <item x="81"/>
        <item x="82"/>
        <item m="1" x="198"/>
        <item m="1" x="159"/>
        <item m="1" x="191"/>
        <item m="1" x="158"/>
        <item m="1" x="144"/>
        <item m="1" x="217"/>
        <item m="1" x="180"/>
        <item m="1" x="179"/>
        <item m="1" x="190"/>
        <item m="1" x="135"/>
        <item m="1" x="194"/>
        <item m="1" x="134"/>
        <item m="1" x="211"/>
        <item m="1" x="208"/>
        <item m="1" x="98"/>
        <item m="1" x="97"/>
        <item x="20"/>
        <item x="21"/>
        <item x="22"/>
        <item x="23"/>
        <item x="24"/>
        <item x="25"/>
        <item x="26"/>
        <item x="27"/>
        <item x="28"/>
        <item x="29"/>
        <item x="30"/>
        <item x="31"/>
        <item x="32"/>
        <item x="33"/>
        <item x="34"/>
        <item x="35"/>
        <item x="86"/>
        <item x="87"/>
        <item x="88"/>
        <item x="89"/>
        <item x="90"/>
        <item x="91"/>
        <item x="92"/>
        <item x="93"/>
        <item x="94"/>
        <item x="95"/>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s>
  <rowFields count="6">
    <field x="0"/>
    <field x="1"/>
    <field x="2"/>
    <field x="3"/>
    <field x="4"/>
    <field x="5"/>
  </rowFields>
  <rowItems count="96">
    <i>
      <x/>
      <x v="1"/>
      <x v="1"/>
      <x v="1"/>
      <x/>
      <x v="16"/>
    </i>
    <i r="4">
      <x v="1"/>
      <x v="17"/>
    </i>
    <i r="4">
      <x v="2"/>
      <x v="18"/>
    </i>
    <i r="4">
      <x v="3"/>
      <x v="19"/>
    </i>
    <i r="4">
      <x v="4"/>
      <x v="20"/>
    </i>
    <i r="2">
      <x v="10"/>
      <x v="1"/>
      <x/>
      <x v="141"/>
    </i>
    <i r="4">
      <x v="1"/>
      <x v="142"/>
    </i>
    <i r="4">
      <x v="2"/>
      <x v="140"/>
    </i>
    <i r="4">
      <x v="3"/>
      <x v="139"/>
    </i>
    <i r="4">
      <x v="4"/>
      <x v="143"/>
    </i>
    <i r="1">
      <x v="2"/>
      <x v="10"/>
      <x v="1"/>
      <x/>
      <x v="146"/>
    </i>
    <i r="4">
      <x v="1"/>
      <x v="147"/>
    </i>
    <i r="4">
      <x v="2"/>
      <x v="145"/>
    </i>
    <i r="4">
      <x v="3"/>
      <x v="144"/>
    </i>
    <i r="4">
      <x v="4"/>
      <x v="148"/>
    </i>
    <i r="1">
      <x v="3"/>
      <x v="10"/>
      <x v="1"/>
      <x/>
      <x v="174"/>
    </i>
    <i r="4">
      <x v="1"/>
      <x v="175"/>
    </i>
    <i r="4">
      <x v="2"/>
      <x v="173"/>
    </i>
    <i r="4">
      <x v="3"/>
      <x v="172"/>
    </i>
    <i r="4">
      <x v="4"/>
      <x v="176"/>
    </i>
    <i r="1">
      <x v="6"/>
      <x v="10"/>
      <x v="1"/>
      <x/>
      <x v="179"/>
    </i>
    <i r="4">
      <x v="1"/>
      <x v="180"/>
    </i>
    <i r="4">
      <x v="2"/>
      <x v="178"/>
    </i>
    <i r="4">
      <x v="3"/>
      <x v="177"/>
    </i>
    <i r="4">
      <x v="4"/>
      <x v="181"/>
    </i>
    <i r="1">
      <x v="7"/>
      <x v="2"/>
      <x v="1"/>
      <x/>
      <x v="43"/>
    </i>
    <i r="4">
      <x v="1"/>
      <x v="44"/>
    </i>
    <i r="4">
      <x v="2"/>
      <x v="45"/>
    </i>
    <i r="4">
      <x v="3"/>
      <x v="46"/>
    </i>
    <i r="4">
      <x v="4"/>
      <x v="47"/>
    </i>
    <i r="2">
      <x v="5"/>
      <x v="1"/>
      <x v="2"/>
      <x v="53"/>
    </i>
    <i r="4">
      <x v="3"/>
      <x v="54"/>
    </i>
    <i r="2">
      <x v="8"/>
      <x v="1"/>
      <x/>
      <x v="55"/>
    </i>
    <i r="4">
      <x v="1"/>
      <x v="56"/>
    </i>
    <i r="4">
      <x v="2"/>
      <x v="57"/>
    </i>
    <i r="4">
      <x v="3"/>
      <x v="58"/>
    </i>
    <i r="4">
      <x v="4"/>
      <x v="59"/>
    </i>
    <i r="2">
      <x v="10"/>
      <x v="1"/>
      <x/>
      <x v="159"/>
    </i>
    <i r="4">
      <x v="1"/>
      <x v="160"/>
    </i>
    <i r="4">
      <x v="2"/>
      <x v="158"/>
    </i>
    <i r="4">
      <x v="3"/>
      <x v="157"/>
    </i>
    <i r="4">
      <x v="4"/>
      <x v="161"/>
    </i>
    <i r="1">
      <x v="8"/>
      <x v="2"/>
      <x/>
      <x/>
      <x v="201"/>
    </i>
    <i r="4">
      <x v="1"/>
      <x v="203"/>
    </i>
    <i r="4">
      <x v="2"/>
      <x v="200"/>
    </i>
    <i r="4">
      <x v="4"/>
      <x v="205"/>
    </i>
    <i r="3">
      <x v="1"/>
      <x/>
      <x v="199"/>
    </i>
    <i r="4">
      <x v="1"/>
      <x v="202"/>
    </i>
    <i r="4">
      <x v="2"/>
      <x v="198"/>
    </i>
    <i r="4">
      <x v="4"/>
      <x v="204"/>
    </i>
    <i r="2">
      <x v="10"/>
      <x/>
      <x/>
      <x v="209"/>
    </i>
    <i r="4">
      <x v="1"/>
      <x v="211"/>
    </i>
    <i r="4">
      <x v="2"/>
      <x v="208"/>
    </i>
    <i r="4">
      <x v="4"/>
      <x v="213"/>
    </i>
    <i r="3">
      <x v="1"/>
      <x/>
      <x v="207"/>
    </i>
    <i r="4">
      <x v="1"/>
      <x v="210"/>
    </i>
    <i r="4">
      <x v="2"/>
      <x v="206"/>
    </i>
    <i r="4">
      <x v="4"/>
      <x v="212"/>
    </i>
    <i r="1">
      <x v="9"/>
      <x v="2"/>
      <x/>
      <x/>
      <x v="60"/>
    </i>
    <i r="4">
      <x v="1"/>
      <x v="61"/>
    </i>
    <i r="4">
      <x v="2"/>
      <x v="62"/>
    </i>
    <i r="4">
      <x v="3"/>
      <x v="63"/>
    </i>
    <i r="4">
      <x v="4"/>
      <x v="64"/>
    </i>
    <i r="3">
      <x v="1"/>
      <x/>
      <x v="65"/>
    </i>
    <i r="4">
      <x v="1"/>
      <x v="66"/>
    </i>
    <i r="4">
      <x v="2"/>
      <x v="67"/>
    </i>
    <i r="4">
      <x v="3"/>
      <x v="68"/>
    </i>
    <i r="4">
      <x v="4"/>
      <x v="69"/>
    </i>
    <i r="2">
      <x v="10"/>
      <x/>
      <x/>
      <x v="169"/>
    </i>
    <i r="4">
      <x v="1"/>
      <x v="170"/>
    </i>
    <i r="4">
      <x v="2"/>
      <x v="168"/>
    </i>
    <i r="4">
      <x v="3"/>
      <x v="167"/>
    </i>
    <i r="4">
      <x v="4"/>
      <x v="171"/>
    </i>
    <i r="3">
      <x v="1"/>
      <x/>
      <x v="164"/>
    </i>
    <i r="4">
      <x v="1"/>
      <x v="165"/>
    </i>
    <i r="4">
      <x v="2"/>
      <x v="163"/>
    </i>
    <i r="4">
      <x v="3"/>
      <x v="162"/>
    </i>
    <i r="4">
      <x v="4"/>
      <x v="166"/>
    </i>
    <i r="2">
      <x v="11"/>
      <x/>
      <x/>
      <x v="221"/>
    </i>
    <i r="4">
      <x v="1"/>
      <x v="222"/>
    </i>
    <i r="4">
      <x v="2"/>
      <x v="220"/>
    </i>
    <i r="4">
      <x v="3"/>
      <x v="219"/>
    </i>
    <i r="4">
      <x v="4"/>
      <x v="223"/>
    </i>
    <i r="3">
      <x v="1"/>
      <x/>
      <x v="216"/>
    </i>
    <i r="4">
      <x v="1"/>
      <x v="217"/>
    </i>
    <i r="4">
      <x v="2"/>
      <x v="215"/>
    </i>
    <i r="4">
      <x v="3"/>
      <x v="214"/>
    </i>
    <i r="4">
      <x v="4"/>
      <x v="218"/>
    </i>
    <i r="1">
      <x v="10"/>
      <x v="10"/>
      <x v="1"/>
      <x/>
      <x v="136"/>
    </i>
    <i r="4">
      <x v="1"/>
      <x v="137"/>
    </i>
    <i r="4">
      <x v="2"/>
      <x v="135"/>
    </i>
    <i r="4">
      <x v="3"/>
      <x v="134"/>
    </i>
    <i r="4">
      <x v="4"/>
      <x v="138"/>
    </i>
    <i>
      <x v="1"/>
      <x v="4"/>
      <x v="2"/>
      <x v="1"/>
      <x/>
      <x v="36"/>
    </i>
    <i r="1">
      <x v="5"/>
      <x v="3"/>
      <x v="1"/>
      <x/>
      <x v="37"/>
    </i>
    <i r="1">
      <x v="11"/>
      <x v="3"/>
      <x v="1"/>
      <x/>
      <x v="85"/>
    </i>
  </rowItems>
  <colFields count="1">
    <field x="-2"/>
  </colFields>
  <colItems count="2">
    <i>
      <x/>
    </i>
    <i i="1">
      <x v="1"/>
    </i>
  </colItems>
  <dataFields count="2">
    <dataField name="Sum of Tariff" fld="6" baseField="0" baseItem="0"/>
    <dataField name="Sum of Min Charge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SSEL_TYPE" xr10:uid="{90BA0081-9480-43E7-9EE7-47B7898D1F40}" sourceName="VESSEL TYPE">
  <pivotTables>
    <pivotTable tabId="5" name="VESSEL TYPE"/>
  </pivotTables>
  <data>
    <tabular pivotCacheId="1542651031" showMissing="0">
      <items count="12">
        <i x="0" s="1"/>
        <i x="1" nd="1"/>
        <i x="2" nd="1"/>
        <i x="5" nd="1"/>
        <i x="3" nd="1"/>
        <i x="6" nd="1"/>
        <i x="4" nd="1"/>
        <i x="10" nd="1"/>
        <i x="8" nd="1"/>
        <i x="9" nd="1"/>
        <i x="11" nd="1"/>
        <i x="7"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rt" xr10:uid="{4251395B-D9A8-4B03-8BFF-53727EC3E38F}" sourceName="Port">
  <pivotTables>
    <pivotTable tabId="5" name="PORTS"/>
    <pivotTable tabId="5" name="VESSEL TYPE"/>
    <pivotTable tabId="5" name="VESSEL RUN"/>
    <pivotTable tabId="5" name="PORT OR TERMINAL"/>
  </pivotTables>
  <data>
    <tabular pivotCacheId="1542651031" showMissing="0">
      <items count="14">
        <i x="1"/>
        <i x="2" s="1"/>
        <i x="6"/>
        <i x="7"/>
        <i x="4"/>
        <i x="3"/>
        <i x="5"/>
        <i x="0"/>
        <i x="10" nd="1"/>
        <i x="9" nd="1"/>
        <i x="8" nd="1"/>
        <i x="12" nd="1"/>
        <i x="13" nd="1"/>
        <i x="1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SSEL_RUN" xr10:uid="{856D747F-E0E6-414E-B65C-EC1F716D40CB}" sourceName="VESSEL RUN">
  <pivotTables>
    <pivotTable tabId="5" name="VESSEL RUN"/>
    <pivotTable tabId="5" name="PORTS"/>
    <pivotTable tabId="5" name="VESSEL TYPE"/>
    <pivotTable tabId="5" name="PORT OR TERMINAL"/>
  </pivotTables>
  <data>
    <tabular pivotCacheId="1542651031" showMissing="0" crossFilter="showItemsWithNoData">
      <items count="3">
        <i x="1" nd="1"/>
        <i x="0" s="1"/>
        <i x="2"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1F7B5AC7-F998-42DD-B383-73A701C98E36}" sourceName="TYPE">
  <pivotTables>
    <pivotTable tabId="5" name="PORT OR TERMINAL"/>
    <pivotTable tabId="5" name="VESSEL RUN"/>
    <pivotTable tabId="5" name="PORTS"/>
    <pivotTable tabId="5" name="VESSEL TYPE"/>
  </pivotTables>
  <data>
    <tabular pivotCacheId="1542651031">
      <items count="2">
        <i x="0" s="1"/>
        <i x="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 xr10:uid="{E57D69A3-BE48-4B27-B6B2-EBE58F62D5FB}" sourceName="CURR">
  <pivotTables>
    <pivotTable tabId="20" name="CURR"/>
  </pivotTables>
  <data>
    <tabular pivotCacheId="871559104">
      <items count="2">
        <i x="0" s="1"/>
        <i x="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ARIFF" xr10:uid="{3C9AC84F-ED1F-438E-B83C-68FAAC1BF793}" sourceName="TARIFF">
  <pivotTables>
    <pivotTable tabId="20" name="VIEW TARIFF"/>
  </pivotTables>
  <data>
    <tabular pivotCacheId="687766476">
      <items count="2">
        <i x="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ESSEL TYPE" xr10:uid="{82E817BB-9D75-40D9-98F0-720313FA41FD}" cache="Slicer_VESSEL_TYPE" caption="VESSEL TYPE" columnCount="2" style="Global 1" lockedPosition="1" rowHeight="241300"/>
  <slicer name="Port" xr10:uid="{362974AB-C3B5-43CD-B753-25D67F96207F}" cache="Slicer_Port" caption="Port" columnCount="11" showCaption="0" style="Global 1" lockedPosition="1" rowHeight="252000"/>
  <slicer name="VESSEL RUN" xr10:uid="{762C8F6E-0F4B-4A6F-8A84-EB64F304EDE1}" cache="Slicer_VESSEL_RUN" caption="VESSEL RUN" columnCount="2" showCaption="0" style="Global 1" lockedPosition="1" rowHeight="241300"/>
  <slicer name="TYPE" xr10:uid="{C59FD214-9D12-4A9D-ADD1-3822ED42FC52}" cache="Slicer_TYPE" caption="TYPE" columnCount="2" showCaption="0" style="Global 1" lockedPosition="1" rowHeight="241300"/>
  <slicer name="CURR 1" xr10:uid="{79D3A8E3-0924-47C3-8F50-C5395FEE6D91}" cache="Slicer_CURR" caption="CURR" showCaption="0" style="Global 1" rowHeight="216000"/>
  <slicer name="TARIFF" xr10:uid="{265EE54F-51F3-4FD6-8433-3CA0AB6A2BFC}" cache="Slicer_TARIFF" caption="TARIFF" columnCount="2" style="Global 1"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1CEE403-9117-4BA0-9ACF-1F1C4985F63A}" name="Table3" displayName="Table3" ref="H2:I4" totalsRowShown="0">
  <autoFilter ref="H2:I4" xr:uid="{05585379-C491-4B24-9BE5-4AA803DB3813}"/>
  <tableColumns count="2">
    <tableColumn id="1" xr3:uid="{501437C1-8A8E-42F5-B924-6AB07A2A30F3}" name="CURR"/>
    <tableColumn id="2" xr3:uid="{9DA8E79E-549B-4ABC-BB08-CD17EF661126}" name="RAT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156B82-DDB8-4C2C-AC39-3B7C69638F88}" name="Table4" displayName="Table4" ref="K2:K4" totalsRowShown="0">
  <autoFilter ref="K2:K4" xr:uid="{929DAB9C-F185-42D1-8F91-B24753770C9C}"/>
  <tableColumns count="1">
    <tableColumn id="1" xr3:uid="{B9263F2F-91DC-4A36-9637-25694FFB0D34}" name="TARIFF"/>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33073E-5FF6-4E82-B1EE-2154D985895B}" name="Table13" displayName="Table13" ref="B4:J100" totalsRowShown="0">
  <autoFilter ref="B4:J100" xr:uid="{A2BD096F-EC0A-49AE-8441-1C74A76C33A3}">
    <filterColumn colId="1">
      <filters>
        <filter val="GPL"/>
      </filters>
    </filterColumn>
  </autoFilter>
  <tableColumns count="9">
    <tableColumn id="6" xr3:uid="{E51FCFCE-028B-4877-A272-EDE47373916A}" name="TYPE"/>
    <tableColumn id="1" xr3:uid="{55B0C183-50CA-49CB-8345-D97436F1A533}" name="PORT"/>
    <tableColumn id="7" xr3:uid="{09D86C6B-0208-4320-B036-BD9BA86DA165}" name="VESSEL TYPE"/>
    <tableColumn id="4" xr3:uid="{A6DE6A85-9611-40B9-ADDC-42279DA67DE8}" name="VESSEL RUN"/>
    <tableColumn id="2" xr3:uid="{AE644BAA-2304-4686-8B0E-34E6517182F3}" name="SERVICE"/>
    <tableColumn id="8" xr3:uid="{604F3987-C7ED-41DD-A853-99B48F913926}" name="lookup1" dataDxfId="8">
      <calculatedColumnFormula>Table13[[#This Row],[PORT]]&amp;Table13[[#This Row],[VESSEL TYPE]]&amp;Table13[[#This Row],[VESSEL RUN]]&amp;Table13[[#This Row],[SERVICE]]</calculatedColumnFormula>
    </tableColumn>
    <tableColumn id="3" xr3:uid="{8CF5B17F-D312-41C4-92BE-C34B007B1C31}" name="Tariff"/>
    <tableColumn id="5" xr3:uid="{579B78B8-6432-4C24-BB1F-33A863F505D0}" name="Min Charges"/>
    <tableColumn id="9" xr3:uid="{4431C63E-09E0-4CF7-BD2C-09E6577108F9}" name="TARIFF CUR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B61B58-223E-4905-9691-D691F63ADC33}" name="Table5" displayName="Table5" ref="J12:W108" totalsRowShown="0" headerRowDxfId="7">
  <autoFilter ref="J12:W108" xr:uid="{ADE6B2BB-E9D3-4FC8-AC9E-2756A1A6F2FD}">
    <filterColumn colId="1">
      <filters>
        <filter val="KATTUPALLI"/>
      </filters>
    </filterColumn>
    <filterColumn colId="2">
      <filters>
        <filter val="GENERAL"/>
      </filters>
    </filterColumn>
  </autoFilter>
  <tableColumns count="14">
    <tableColumn id="1" xr3:uid="{8A4D179D-BEEE-4AD1-833F-CB6F9FD36FAB}" name="FILTER">
      <calculatedColumnFormula>K13&amp;L13&amp;M13&amp;N13</calculatedColumnFormula>
    </tableColumn>
    <tableColumn id="2" xr3:uid="{7316E04F-0606-4807-B219-3FBC27C4FBAA}" name="PORT" dataDxfId="6">
      <calculatedColumnFormula>B13</calculatedColumnFormula>
    </tableColumn>
    <tableColumn id="3" xr3:uid="{AE9CA2FE-9276-407F-8DB0-D0BAD99FA7D8}" name="VESSEL TYPE" dataDxfId="5">
      <calculatedColumnFormula>C13</calculatedColumnFormula>
    </tableColumn>
    <tableColumn id="4" xr3:uid="{F1548AAF-583C-495D-AB17-6CA3941B3E0D}" name="VESSEL RUN" dataDxfId="4">
      <calculatedColumnFormula>D13</calculatedColumnFormula>
    </tableColumn>
    <tableColumn id="5" xr3:uid="{86435421-A703-4D95-AEBA-29D64EFB3454}" name="SERVICE" dataDxfId="3">
      <calculatedColumnFormula>E13</calculatedColumnFormula>
    </tableColumn>
    <tableColumn id="6" xr3:uid="{17749036-9E00-47B6-A7F8-C91A8E0CA080}" name="Tariff" dataDxfId="2">
      <calculatedColumnFormula>IFERROR(VLOOKUP(J13,'Tariff Master'!G:J,2,0),0)</calculatedColumnFormula>
    </tableColumn>
    <tableColumn id="7" xr3:uid="{7E996729-D061-4E0C-8DCC-B22AE8BCB5EE}" name="Min Charges">
      <calculatedColumnFormula>IFERROR(VLOOKUP(J13,'Tariff Master'!G:J,3,0),0)</calculatedColumnFormula>
    </tableColumn>
    <tableColumn id="8" xr3:uid="{91D529A9-3117-4757-8D35-55EE6CBC87D5}" name="TARIFF CURR">
      <calculatedColumnFormula>IFERROR(VLOOKUP(J13,'Tariff Master'!G:J,4,0),0)</calculatedColumnFormula>
    </tableColumn>
    <tableColumn id="9" xr3:uid="{33FCE052-8133-47A7-B996-8C1BF53B2A8A}" name="&lt;&gt;"/>
    <tableColumn id="10" xr3:uid="{F2058580-1E48-4EE2-9156-85A1C5226CA9}" name="GT">
      <calculatedColumnFormula>IF(N13="Port Env &amp; Safety",1,$U$1)</calculatedColumnFormula>
    </tableColumn>
    <tableColumn id="11" xr3:uid="{2083199C-C38C-4109-9E01-FA4875D75770}" name="Qty">
      <calculatedColumnFormula>IF(N13="Berth Hire",$U$2,1)</calculatedColumnFormula>
    </tableColumn>
    <tableColumn id="12" xr3:uid="{56C3B69F-7F95-42E4-8722-78EBE1CD2D76}" name="EX RATE">
      <calculatedColumnFormula>$U$3</calculatedColumnFormula>
    </tableColumn>
    <tableColumn id="13" xr3:uid="{D7F782B6-FEFC-4AC2-B3E1-EFE728880A16}" name="Amt USD" dataDxfId="1" dataCellStyle="Comma">
      <calculatedColumnFormula>MAX(S13*O13*IF(N13="Berth Hire",T13,1),P13)</calculatedColumnFormula>
    </tableColumn>
    <tableColumn id="14" xr3:uid="{61F92834-9547-4D59-9367-32E3FB802A29}" name="AmtINR" dataDxfId="0">
      <calculatedColumnFormula>V13*U13/10^7</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openxmlformats.org/officeDocument/2006/relationships/table" Target="../tables/table3.xml"/><Relationship Id="rId5" Type="http://schemas.openxmlformats.org/officeDocument/2006/relationships/printerSettings" Target="../printerSettings/printerSettings11.bin"/><Relationship Id="rId4" Type="http://schemas.openxmlformats.org/officeDocument/2006/relationships/pivotTable" Target="../pivotTables/pivotTable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12.bin"/><Relationship Id="rId1" Type="http://schemas.openxmlformats.org/officeDocument/2006/relationships/pivotTable" Target="../pivotTables/pivotTable7.xml"/></Relationships>
</file>

<file path=xl/worksheets/_rels/sheet13.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185E9-CDF9-4141-BAD0-4BEB9CA223B6}">
  <sheetPr>
    <tabColor rgb="FFFFFF00"/>
  </sheetPr>
  <dimension ref="B2:H8"/>
  <sheetViews>
    <sheetView workbookViewId="0">
      <selection activeCell="C7" sqref="C7:D10"/>
    </sheetView>
  </sheetViews>
  <sheetFormatPr defaultRowHeight="14.4" x14ac:dyDescent="0.3"/>
  <cols>
    <col min="2" max="2" width="8.44140625" bestFit="1" customWidth="1"/>
    <col min="3" max="3" width="18" bestFit="1" customWidth="1"/>
    <col min="4" max="4" width="14.6640625" bestFit="1" customWidth="1"/>
    <col min="5" max="5" width="10.5546875" bestFit="1" customWidth="1"/>
    <col min="6" max="6" width="6.5546875" bestFit="1" customWidth="1"/>
    <col min="7" max="7" width="17.6640625" bestFit="1" customWidth="1"/>
    <col min="8" max="8" width="8.33203125" bestFit="1" customWidth="1"/>
  </cols>
  <sheetData>
    <row r="2" spans="2:8" x14ac:dyDescent="0.3">
      <c r="B2" s="5" t="s">
        <v>90</v>
      </c>
      <c r="C2" s="5" t="s">
        <v>1</v>
      </c>
      <c r="D2" s="5" t="s">
        <v>10</v>
      </c>
      <c r="E2" s="5" t="s">
        <v>11</v>
      </c>
      <c r="F2" s="5" t="s">
        <v>12</v>
      </c>
      <c r="G2" s="5" t="s">
        <v>13</v>
      </c>
      <c r="H2" s="5" t="s">
        <v>14</v>
      </c>
    </row>
    <row r="3" spans="2:8" x14ac:dyDescent="0.3">
      <c r="B3" s="49" t="s">
        <v>107</v>
      </c>
      <c r="C3" s="49" t="s">
        <v>305</v>
      </c>
      <c r="D3" s="13">
        <v>0.65</v>
      </c>
      <c r="E3" s="13">
        <v>0</v>
      </c>
      <c r="F3" s="14" t="s">
        <v>41</v>
      </c>
      <c r="G3" s="15"/>
      <c r="H3" s="8"/>
    </row>
    <row r="4" spans="2:8" x14ac:dyDescent="0.3">
      <c r="B4" s="49" t="s">
        <v>108</v>
      </c>
      <c r="C4" s="49" t="s">
        <v>305</v>
      </c>
      <c r="D4" s="13">
        <v>0.7</v>
      </c>
      <c r="E4" s="13">
        <v>0</v>
      </c>
      <c r="F4" s="14" t="s">
        <v>41</v>
      </c>
      <c r="G4" s="15"/>
      <c r="H4" s="8"/>
    </row>
    <row r="5" spans="2:8" x14ac:dyDescent="0.3">
      <c r="B5" s="49" t="s">
        <v>109</v>
      </c>
      <c r="C5" s="49" t="s">
        <v>305</v>
      </c>
      <c r="D5" s="13">
        <v>1.7600000000000001E-2</v>
      </c>
      <c r="E5" s="13">
        <v>0</v>
      </c>
      <c r="F5" s="14" t="s">
        <v>16</v>
      </c>
      <c r="G5" s="15"/>
      <c r="H5" s="8"/>
    </row>
    <row r="8" spans="2:8" x14ac:dyDescent="0.3">
      <c r="C8" s="68"/>
    </row>
  </sheetData>
  <conditionalFormatting sqref="H3">
    <cfRule type="containsText" dxfId="101" priority="4" operator="containsText" text="Verified">
      <formula>NOT(ISERROR(SEARCH("Verified",H3)))</formula>
    </cfRule>
    <cfRule type="containsText" dxfId="100" priority="5" operator="containsText" text="Verified">
      <formula>NOT(ISERROR(SEARCH("Verified",H3)))</formula>
    </cfRule>
    <cfRule type="containsText" dxfId="99" priority="6" operator="containsText" text="Verified">
      <formula>NOT(ISERROR(SEARCH("Verified",H3)))</formula>
    </cfRule>
  </conditionalFormatting>
  <conditionalFormatting sqref="H4:H5">
    <cfRule type="containsText" dxfId="98" priority="1" operator="containsText" text="Verified">
      <formula>NOT(ISERROR(SEARCH("Verified",H4)))</formula>
    </cfRule>
    <cfRule type="containsText" dxfId="97" priority="2" operator="containsText" text="Verified">
      <formula>NOT(ISERROR(SEARCH("Verified",H4)))</formula>
    </cfRule>
    <cfRule type="containsText" dxfId="96" priority="3" operator="containsText" text="Verified">
      <formula>NOT(ISERROR(SEARCH("Verified",H4)))</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94C7-3884-499E-88CF-CD937E7D12B9}">
  <sheetPr>
    <tabColor rgb="FF002060"/>
  </sheetPr>
  <dimension ref="C2:K9"/>
  <sheetViews>
    <sheetView showGridLines="0" workbookViewId="0">
      <selection activeCell="C7" sqref="C7:D10"/>
    </sheetView>
  </sheetViews>
  <sheetFormatPr defaultRowHeight="14.4" x14ac:dyDescent="0.3"/>
  <cols>
    <col min="4" max="4" width="10.88671875" bestFit="1" customWidth="1"/>
    <col min="5" max="5" width="11.6640625" customWidth="1"/>
    <col min="8" max="8" width="12.5546875" bestFit="1" customWidth="1"/>
    <col min="10" max="10" width="2.6640625" customWidth="1"/>
    <col min="11" max="11" width="12.5546875" bestFit="1" customWidth="1"/>
    <col min="12" max="12" width="2.6640625" customWidth="1"/>
  </cols>
  <sheetData>
    <row r="2" spans="3:11" ht="28.8" x14ac:dyDescent="0.3">
      <c r="C2" s="46"/>
      <c r="D2" s="46" t="s">
        <v>256</v>
      </c>
      <c r="E2" s="46" t="s">
        <v>257</v>
      </c>
      <c r="H2" t="s">
        <v>12</v>
      </c>
      <c r="I2" t="s">
        <v>252</v>
      </c>
      <c r="K2" t="s">
        <v>156</v>
      </c>
    </row>
    <row r="3" spans="3:11" x14ac:dyDescent="0.3">
      <c r="C3" s="45" t="s">
        <v>254</v>
      </c>
      <c r="D3" s="47">
        <v>3700</v>
      </c>
      <c r="H3" t="s">
        <v>41</v>
      </c>
      <c r="I3">
        <v>1</v>
      </c>
      <c r="K3" t="s">
        <v>302</v>
      </c>
    </row>
    <row r="4" spans="3:11" x14ac:dyDescent="0.3">
      <c r="C4" s="45" t="s">
        <v>255</v>
      </c>
      <c r="E4" s="47">
        <f>newCalc!G10</f>
        <v>1</v>
      </c>
      <c r="H4" t="s">
        <v>16</v>
      </c>
      <c r="I4">
        <v>75</v>
      </c>
      <c r="K4" t="s">
        <v>301</v>
      </c>
    </row>
    <row r="5" spans="3:11" x14ac:dyDescent="0.3">
      <c r="C5" s="45" t="s">
        <v>251</v>
      </c>
      <c r="E5" s="47">
        <f>newCalc!G14</f>
        <v>75</v>
      </c>
    </row>
    <row r="6" spans="3:11" x14ac:dyDescent="0.3">
      <c r="D6" s="35"/>
      <c r="E6" s="35"/>
    </row>
    <row r="7" spans="3:11" x14ac:dyDescent="0.3">
      <c r="C7" s="45" t="s">
        <v>12</v>
      </c>
      <c r="D7" s="47" t="str">
        <f>ControlPanel!H8</f>
        <v>INR</v>
      </c>
      <c r="E7" s="47" t="str">
        <f>D7</f>
        <v>INR</v>
      </c>
      <c r="F7" t="str">
        <f>"(in "&amp;E7&amp;")"</f>
        <v>(in INR)</v>
      </c>
      <c r="H7" s="1" t="s">
        <v>5</v>
      </c>
      <c r="K7" s="1" t="s">
        <v>5</v>
      </c>
    </row>
    <row r="8" spans="3:11" x14ac:dyDescent="0.3">
      <c r="H8" s="2" t="s">
        <v>41</v>
      </c>
      <c r="K8" s="2" t="s">
        <v>302</v>
      </c>
    </row>
    <row r="9" spans="3:11" x14ac:dyDescent="0.3">
      <c r="H9" s="2" t="s">
        <v>216</v>
      </c>
      <c r="K9" s="2" t="s">
        <v>216</v>
      </c>
    </row>
  </sheetData>
  <pageMargins left="0.7" right="0.7" top="0.75" bottom="0.75" header="0.3" footer="0.3"/>
  <pageSetup orientation="portrait" r:id="rId3"/>
  <tableParts count="2">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206C-105A-4676-8154-CDA3C7E5366A}">
  <sheetPr>
    <tabColor rgb="FF002060"/>
  </sheetPr>
  <dimension ref="B1:AH100"/>
  <sheetViews>
    <sheetView zoomScaleNormal="100" workbookViewId="0">
      <pane ySplit="4" topLeftCell="A5" activePane="bottomLeft" state="frozen"/>
      <selection activeCell="C7" sqref="C7:D10"/>
      <selection pane="bottomLeft" activeCell="C7" sqref="C7:D10"/>
    </sheetView>
  </sheetViews>
  <sheetFormatPr defaultRowHeight="14.4" x14ac:dyDescent="0.3"/>
  <cols>
    <col min="1" max="1" width="2.5546875" customWidth="1"/>
    <col min="2" max="2" width="11" bestFit="1" customWidth="1"/>
    <col min="3" max="3" width="9.109375" customWidth="1"/>
    <col min="4" max="4" width="22.109375" bestFit="1" customWidth="1"/>
    <col min="5" max="5" width="14" bestFit="1" customWidth="1"/>
    <col min="6" max="6" width="16.33203125" bestFit="1" customWidth="1"/>
    <col min="7" max="7" width="51.6640625" bestFit="1" customWidth="1"/>
    <col min="8" max="8" width="10" bestFit="1" customWidth="1"/>
    <col min="9" max="9" width="14.33203125" customWidth="1"/>
    <col min="10" max="10" width="14.5546875" bestFit="1" customWidth="1"/>
    <col min="11" max="11" width="4.6640625" customWidth="1"/>
    <col min="12" max="12" width="12.5546875" bestFit="1" customWidth="1"/>
    <col min="13" max="13" width="3.109375" customWidth="1"/>
    <col min="14" max="14" width="12.5546875" bestFit="1" customWidth="1"/>
    <col min="15" max="15" width="2.88671875" customWidth="1"/>
    <col min="16" max="16" width="12.5546875" bestFit="1" customWidth="1"/>
    <col min="17" max="17" width="6.109375" bestFit="1" customWidth="1"/>
    <col min="18" max="18" width="7.88671875" bestFit="1" customWidth="1"/>
    <col min="19" max="19" width="8.88671875" bestFit="1" customWidth="1"/>
    <col min="20" max="20" width="16.33203125" bestFit="1" customWidth="1"/>
    <col min="21" max="22" width="14" customWidth="1"/>
    <col min="23" max="23" width="13.109375" bestFit="1" customWidth="1"/>
    <col min="24" max="24" width="12" bestFit="1" customWidth="1"/>
    <col min="27" max="27" width="32.109375" bestFit="1" customWidth="1"/>
    <col min="28" max="28" width="5.6640625" bestFit="1" customWidth="1"/>
    <col min="29" max="29" width="11.6640625" bestFit="1" customWidth="1"/>
    <col min="30" max="30" width="11.44140625" bestFit="1" customWidth="1"/>
    <col min="31" max="31" width="16.33203125" bestFit="1" customWidth="1"/>
    <col min="32" max="32" width="8.5546875" bestFit="1" customWidth="1"/>
    <col min="33" max="33" width="11.88671875" bestFit="1" customWidth="1"/>
    <col min="34" max="34" width="12.109375" bestFit="1" customWidth="1"/>
  </cols>
  <sheetData>
    <row r="1" spans="2:34" x14ac:dyDescent="0.3">
      <c r="G1" t="s">
        <v>334</v>
      </c>
      <c r="AA1" s="44">
        <f>newCalc!G6</f>
        <v>37000</v>
      </c>
    </row>
    <row r="4" spans="2:34" x14ac:dyDescent="0.3">
      <c r="B4" t="s">
        <v>213</v>
      </c>
      <c r="C4" t="s">
        <v>90</v>
      </c>
      <c r="D4" t="s">
        <v>79</v>
      </c>
      <c r="E4" t="s">
        <v>117</v>
      </c>
      <c r="F4" t="s">
        <v>6</v>
      </c>
      <c r="G4" t="s">
        <v>91</v>
      </c>
      <c r="H4" t="s">
        <v>2</v>
      </c>
      <c r="I4" t="s">
        <v>8</v>
      </c>
      <c r="J4" t="s">
        <v>304</v>
      </c>
      <c r="L4" s="1" t="s">
        <v>5</v>
      </c>
      <c r="M4" s="1"/>
      <c r="N4" s="1" t="s">
        <v>5</v>
      </c>
      <c r="P4" s="1" t="s">
        <v>5</v>
      </c>
      <c r="AA4" s="36" t="s">
        <v>253</v>
      </c>
      <c r="AB4" s="36" t="s">
        <v>90</v>
      </c>
      <c r="AC4" s="36" t="s">
        <v>79</v>
      </c>
      <c r="AD4" s="36" t="s">
        <v>117</v>
      </c>
      <c r="AE4" s="36" t="s">
        <v>6</v>
      </c>
      <c r="AF4" s="36" t="s">
        <v>2</v>
      </c>
      <c r="AG4" s="36" t="s">
        <v>8</v>
      </c>
      <c r="AH4" s="36" t="s">
        <v>304</v>
      </c>
    </row>
    <row r="5" spans="2:34" hidden="1" x14ac:dyDescent="0.3">
      <c r="B5" t="s">
        <v>214</v>
      </c>
      <c r="C5" t="s">
        <v>78</v>
      </c>
      <c r="D5" t="s">
        <v>260</v>
      </c>
      <c r="E5" t="s">
        <v>116</v>
      </c>
      <c r="F5" t="s">
        <v>0</v>
      </c>
      <c r="G5" t="str">
        <f>Table13[[#This Row],[PORT]]&amp;Table13[[#This Row],[VESSEL TYPE]]&amp;Table13[[#This Row],[VESSEL RUN]]&amp;Table13[[#This Row],[SERVICE]]</f>
        <v>MUNDRAGENERALFOREIGNPort Dues</v>
      </c>
      <c r="H5">
        <f>Mundra!$C$3</f>
        <v>5.4179999999999999E-2</v>
      </c>
      <c r="I5">
        <f>Mundra!$D$3</f>
        <v>275</v>
      </c>
      <c r="J5" t="s">
        <v>16</v>
      </c>
      <c r="L5" s="2" t="s">
        <v>96</v>
      </c>
      <c r="M5" s="2"/>
      <c r="N5" s="2" t="s">
        <v>260</v>
      </c>
      <c r="P5" s="2" t="s">
        <v>116</v>
      </c>
      <c r="AA5" t="str">
        <f>AB5&amp;AC5&amp;AD5&amp;AE5</f>
        <v>DHAMRAGENERALFOREIGNPort Dues</v>
      </c>
      <c r="AB5" t="str">
        <f>$L$5</f>
        <v>DHAMRA</v>
      </c>
      <c r="AC5" t="str">
        <f>$N$5</f>
        <v>GENERAL</v>
      </c>
      <c r="AD5" t="str">
        <f>$P$5</f>
        <v>FOREIGN</v>
      </c>
      <c r="AE5" t="s">
        <v>0</v>
      </c>
      <c r="AF5" s="48">
        <f>IFERROR(VLOOKUP(AA5,G:I,2,0),0)</f>
        <v>5.4179999999999999E-2</v>
      </c>
      <c r="AG5">
        <f>IFERROR(VLOOKUP(AA5,G:I,3,0),0)</f>
        <v>275</v>
      </c>
      <c r="AH5" t="str">
        <f>IFERROR(VLOOKUP(AA5,G:J,4,0),0)</f>
        <v>USD</v>
      </c>
    </row>
    <row r="6" spans="2:34" hidden="1" x14ac:dyDescent="0.3">
      <c r="B6" t="s">
        <v>214</v>
      </c>
      <c r="C6" t="s">
        <v>78</v>
      </c>
      <c r="D6" t="s">
        <v>260</v>
      </c>
      <c r="E6" t="s">
        <v>116</v>
      </c>
      <c r="F6" t="s">
        <v>3</v>
      </c>
      <c r="G6" t="str">
        <f>Table13[[#This Row],[PORT]]&amp;Table13[[#This Row],[VESSEL TYPE]]&amp;Table13[[#This Row],[VESSEL RUN]]&amp;Table13[[#This Row],[SERVICE]]</f>
        <v>MUNDRAGENERALFOREIGNPilotage</v>
      </c>
      <c r="H6">
        <f>IF($AA$1&lt;=10000,Mundra!$C$4,Mundra!$C$6)</f>
        <v>0.82530000000000003</v>
      </c>
      <c r="I6">
        <f>IF($AA$1&lt;=3000,Mundra!$D$4,IF($AA$1&lt;=9999,Mundra!$D$5,IF($AA$1&lt;=15000,Mundra!$D$5,IF($AA$1&lt;=19999,Mundra!$D$6,IF($AA$1&lt;=39999,Mundra!$D$6,Mundra!$D$6)))))</f>
        <v>13125</v>
      </c>
      <c r="J6" t="s">
        <v>16</v>
      </c>
      <c r="AA6" t="str">
        <f>AB6&amp;AC6&amp;AD6&amp;AE6</f>
        <v>DHAMRAGENERALFOREIGNPilotage</v>
      </c>
      <c r="AB6" t="str">
        <f>$L$5</f>
        <v>DHAMRA</v>
      </c>
      <c r="AC6" t="str">
        <f>$N$5</f>
        <v>GENERAL</v>
      </c>
      <c r="AD6" t="str">
        <f>$P$5</f>
        <v>FOREIGN</v>
      </c>
      <c r="AE6" t="s">
        <v>3</v>
      </c>
      <c r="AF6" s="48">
        <f>IFERROR(VLOOKUP(AA6,G:I,2,0),0)</f>
        <v>1.9731000000000001</v>
      </c>
      <c r="AG6">
        <f>IFERROR(VLOOKUP(AA6,G:I,3,0),0)</f>
        <v>0</v>
      </c>
      <c r="AH6" t="str">
        <f>IFERROR(VLOOKUP(AA6,G:J,4,0),0)</f>
        <v>USD</v>
      </c>
    </row>
    <row r="7" spans="2:34" hidden="1" x14ac:dyDescent="0.3">
      <c r="B7" t="s">
        <v>214</v>
      </c>
      <c r="C7" t="s">
        <v>78</v>
      </c>
      <c r="D7" t="s">
        <v>260</v>
      </c>
      <c r="E7" t="s">
        <v>116</v>
      </c>
      <c r="F7" t="s">
        <v>7</v>
      </c>
      <c r="G7" t="str">
        <f>Table13[[#This Row],[PORT]]&amp;Table13[[#This Row],[VESSEL TYPE]]&amp;Table13[[#This Row],[VESSEL RUN]]&amp;Table13[[#This Row],[SERVICE]]</f>
        <v>MUNDRAGENERALFOREIGNBerth Hire</v>
      </c>
      <c r="H7">
        <f>Mundra!$C$7</f>
        <v>9.1350000000000008E-3</v>
      </c>
      <c r="I7">
        <f>Mundra!$D$7</f>
        <v>640</v>
      </c>
      <c r="J7" t="s">
        <v>16</v>
      </c>
      <c r="AA7" t="str">
        <f>AB7&amp;AC7&amp;AD7&amp;AE7</f>
        <v>DHAMRAGENERALFOREIGNBerth Hire</v>
      </c>
      <c r="AB7" t="str">
        <f>$L$5</f>
        <v>DHAMRA</v>
      </c>
      <c r="AC7" t="str">
        <f>$N$5</f>
        <v>GENERAL</v>
      </c>
      <c r="AD7" t="str">
        <f>$P$5</f>
        <v>FOREIGN</v>
      </c>
      <c r="AE7" t="s">
        <v>7</v>
      </c>
      <c r="AF7" s="48">
        <f>IFERROR(VLOOKUP(AA7,G:I,2,0),0)</f>
        <v>0.01</v>
      </c>
      <c r="AG7">
        <f>IFERROR(VLOOKUP(AA7,G:I,3,0),0)</f>
        <v>720</v>
      </c>
      <c r="AH7" t="str">
        <f>IFERROR(VLOOKUP(AA7,G:J,4,0),0)</f>
        <v>USD</v>
      </c>
    </row>
    <row r="8" spans="2:34" hidden="1" x14ac:dyDescent="0.3">
      <c r="B8" t="s">
        <v>214</v>
      </c>
      <c r="C8" t="s">
        <v>78</v>
      </c>
      <c r="D8" t="s">
        <v>260</v>
      </c>
      <c r="E8" t="s">
        <v>116</v>
      </c>
      <c r="F8" t="s">
        <v>4</v>
      </c>
      <c r="G8" t="str">
        <f>Table13[[#This Row],[PORT]]&amp;Table13[[#This Row],[VESSEL TYPE]]&amp;Table13[[#This Row],[VESSEL RUN]]&amp;Table13[[#This Row],[SERVICE]]</f>
        <v>MUNDRAGENERALFOREIGNMooring</v>
      </c>
      <c r="H8">
        <f>Mundra!$C$8</f>
        <v>3.4720000000000001E-2</v>
      </c>
      <c r="I8">
        <f>Mundra!$D$8</f>
        <v>200</v>
      </c>
      <c r="J8" t="s">
        <v>16</v>
      </c>
      <c r="AA8" t="str">
        <f>AB8&amp;AC8&amp;AD8&amp;AE8</f>
        <v>DHAMRAGENERALFOREIGNMooring</v>
      </c>
      <c r="AB8" t="str">
        <f>$L$5</f>
        <v>DHAMRA</v>
      </c>
      <c r="AC8" t="str">
        <f>$N$5</f>
        <v>GENERAL</v>
      </c>
      <c r="AD8" t="str">
        <f>$P$5</f>
        <v>FOREIGN</v>
      </c>
      <c r="AE8" t="s">
        <v>4</v>
      </c>
      <c r="AF8" s="48">
        <f>IFERROR(VLOOKUP(AA8,G:I,2,0),0)</f>
        <v>3.4720000000000001E-2</v>
      </c>
      <c r="AG8">
        <f>IFERROR(VLOOKUP(AA8,G:I,3,0),0)</f>
        <v>0</v>
      </c>
      <c r="AH8" t="str">
        <f>IFERROR(VLOOKUP(AA8,G:J,4,0),0)</f>
        <v>USD</v>
      </c>
    </row>
    <row r="9" spans="2:34" hidden="1" x14ac:dyDescent="0.3">
      <c r="B9" t="s">
        <v>214</v>
      </c>
      <c r="C9" t="s">
        <v>78</v>
      </c>
      <c r="D9" t="s">
        <v>260</v>
      </c>
      <c r="E9" t="s">
        <v>116</v>
      </c>
      <c r="F9" t="s">
        <v>75</v>
      </c>
      <c r="G9" t="str">
        <f>Table13[[#This Row],[PORT]]&amp;Table13[[#This Row],[VESSEL TYPE]]&amp;Table13[[#This Row],[VESSEL RUN]]&amp;Table13[[#This Row],[SERVICE]]</f>
        <v>MUNDRAGENERALFOREIGNPort Env &amp; Safety</v>
      </c>
      <c r="H9">
        <f>IF($AA$1&lt;=10000,Mundra!C9,IF($AA$1&lt;=30000,Mundra!C10,Mundra!C11))</f>
        <v>200</v>
      </c>
      <c r="I9">
        <f>Mundra!$D$9</f>
        <v>0</v>
      </c>
      <c r="J9" t="s">
        <v>16</v>
      </c>
      <c r="AA9" t="str">
        <f>AB9&amp;AC9&amp;AD9&amp;AE9</f>
        <v>DHAMRAGENERALFOREIGNPort Env &amp; Safety</v>
      </c>
      <c r="AB9" t="str">
        <f>$L$5</f>
        <v>DHAMRA</v>
      </c>
      <c r="AC9" t="str">
        <f>$N$5</f>
        <v>GENERAL</v>
      </c>
      <c r="AD9" t="str">
        <f>$P$5</f>
        <v>FOREIGN</v>
      </c>
      <c r="AE9" t="s">
        <v>75</v>
      </c>
      <c r="AF9">
        <f>IFERROR(VLOOKUP(AA9,G:I,2,0),0)</f>
        <v>350</v>
      </c>
      <c r="AG9">
        <f>IFERROR(VLOOKUP(AA9,G:I,3,0),0)</f>
        <v>0</v>
      </c>
      <c r="AH9" t="str">
        <f>IFERROR(VLOOKUP(AA9,G:J,4,0),0)</f>
        <v>USD</v>
      </c>
    </row>
    <row r="10" spans="2:34" hidden="1" x14ac:dyDescent="0.3">
      <c r="B10" t="s">
        <v>214</v>
      </c>
      <c r="C10" t="s">
        <v>80</v>
      </c>
      <c r="D10" t="s">
        <v>260</v>
      </c>
      <c r="E10" t="s">
        <v>116</v>
      </c>
      <c r="F10" t="s">
        <v>0</v>
      </c>
      <c r="G10" t="str">
        <f>Table13[[#This Row],[PORT]]&amp;Table13[[#This Row],[VESSEL TYPE]]&amp;Table13[[#This Row],[VESSEL RUN]]&amp;Table13[[#This Row],[SERVICE]]</f>
        <v>DAHEJGENERALFOREIGNPort Dues</v>
      </c>
      <c r="H10">
        <f>Dahej!$C$3</f>
        <v>0.26800000000000002</v>
      </c>
      <c r="I10">
        <f>Dahej!$D$3</f>
        <v>1200</v>
      </c>
      <c r="J10" t="s">
        <v>16</v>
      </c>
    </row>
    <row r="11" spans="2:34" hidden="1" x14ac:dyDescent="0.3">
      <c r="B11" t="s">
        <v>214</v>
      </c>
      <c r="C11" t="s">
        <v>80</v>
      </c>
      <c r="D11" t="s">
        <v>260</v>
      </c>
      <c r="E11" t="s">
        <v>116</v>
      </c>
      <c r="F11" t="s">
        <v>3</v>
      </c>
      <c r="G11" t="str">
        <f>Table13[[#This Row],[PORT]]&amp;Table13[[#This Row],[VESSEL TYPE]]&amp;Table13[[#This Row],[VESSEL RUN]]&amp;Table13[[#This Row],[SERVICE]]</f>
        <v>DAHEJGENERALFOREIGNPilotage</v>
      </c>
      <c r="H11">
        <f>Dahej!$C$5</f>
        <v>0.92249999999999999</v>
      </c>
      <c r="I11">
        <f>Dahej!$D$5</f>
        <v>615</v>
      </c>
      <c r="J11" t="s">
        <v>16</v>
      </c>
      <c r="P11" s="1" t="s">
        <v>5</v>
      </c>
    </row>
    <row r="12" spans="2:34" hidden="1" x14ac:dyDescent="0.3">
      <c r="B12" t="s">
        <v>214</v>
      </c>
      <c r="C12" t="s">
        <v>80</v>
      </c>
      <c r="D12" t="s">
        <v>260</v>
      </c>
      <c r="E12" t="s">
        <v>116</v>
      </c>
      <c r="F12" t="s">
        <v>7</v>
      </c>
      <c r="G12" t="str">
        <f>Table13[[#This Row],[PORT]]&amp;Table13[[#This Row],[VESSEL TYPE]]&amp;Table13[[#This Row],[VESSEL RUN]]&amp;Table13[[#This Row],[SERVICE]]</f>
        <v>DAHEJGENERALFOREIGNBerth Hire</v>
      </c>
      <c r="H12">
        <f>Dahej!$C$7</f>
        <v>8.7899999999999992E-3</v>
      </c>
      <c r="I12">
        <f>Dahej!$D$7</f>
        <v>820</v>
      </c>
      <c r="J12" t="s">
        <v>16</v>
      </c>
      <c r="P12" s="2" t="s">
        <v>214</v>
      </c>
    </row>
    <row r="13" spans="2:34" hidden="1" x14ac:dyDescent="0.3">
      <c r="B13" t="s">
        <v>214</v>
      </c>
      <c r="C13" t="s">
        <v>80</v>
      </c>
      <c r="D13" t="s">
        <v>260</v>
      </c>
      <c r="E13" t="s">
        <v>116</v>
      </c>
      <c r="F13" t="s">
        <v>4</v>
      </c>
      <c r="G13" t="str">
        <f>Table13[[#This Row],[PORT]]&amp;Table13[[#This Row],[VESSEL TYPE]]&amp;Table13[[#This Row],[VESSEL RUN]]&amp;Table13[[#This Row],[SERVICE]]</f>
        <v>DAHEJGENERALFOREIGNMooring</v>
      </c>
      <c r="H13">
        <f>Dahej!$C$8</f>
        <v>3.4720000000000001E-2</v>
      </c>
      <c r="I13">
        <f>Dahej!$D$8</f>
        <v>200</v>
      </c>
      <c r="J13" t="s">
        <v>16</v>
      </c>
    </row>
    <row r="14" spans="2:34" hidden="1" x14ac:dyDescent="0.3">
      <c r="B14" t="s">
        <v>214</v>
      </c>
      <c r="C14" t="s">
        <v>80</v>
      </c>
      <c r="D14" t="s">
        <v>260</v>
      </c>
      <c r="E14" t="s">
        <v>116</v>
      </c>
      <c r="F14" t="s">
        <v>75</v>
      </c>
      <c r="G14" t="str">
        <f>Table13[[#This Row],[PORT]]&amp;Table13[[#This Row],[VESSEL TYPE]]&amp;Table13[[#This Row],[VESSEL RUN]]&amp;Table13[[#This Row],[SERVICE]]</f>
        <v>DAHEJGENERALFOREIGNPort Env &amp; Safety</v>
      </c>
      <c r="H14">
        <f>IF($AA$1&lt;=10000,Dahej!C9,IF($AA$1&lt;=30000,Dahej!C10,Dahej!C11))</f>
        <v>200</v>
      </c>
      <c r="I14">
        <f>IF(AD1&lt;=10000,Dahej!D9,IF(AD1&lt;=30000,Dahej!D10,Dahej!D11))</f>
        <v>0</v>
      </c>
      <c r="J14" t="s">
        <v>16</v>
      </c>
    </row>
    <row r="15" spans="2:34" hidden="1" x14ac:dyDescent="0.3">
      <c r="B15" t="s">
        <v>214</v>
      </c>
      <c r="C15" t="s">
        <v>80</v>
      </c>
      <c r="D15" t="s">
        <v>89</v>
      </c>
      <c r="E15" t="s">
        <v>116</v>
      </c>
      <c r="F15" t="s">
        <v>0</v>
      </c>
      <c r="G15" s="31" t="str">
        <f>Table13[[#This Row],[PORT]]&amp;Table13[[#This Row],[VESSEL TYPE]]&amp;Table13[[#This Row],[VESSEL RUN]]&amp;Table13[[#This Row],[SERVICE]]</f>
        <v>DAHEJCOAL &amp; PROJECTFOREIGNPort Dues</v>
      </c>
      <c r="H15">
        <f>Dahej!$C$3</f>
        <v>0.26800000000000002</v>
      </c>
      <c r="I15">
        <f>Dahej!$D$3</f>
        <v>1200</v>
      </c>
      <c r="J15" t="s">
        <v>16</v>
      </c>
    </row>
    <row r="16" spans="2:34" hidden="1" x14ac:dyDescent="0.3">
      <c r="B16" t="s">
        <v>214</v>
      </c>
      <c r="C16" t="s">
        <v>80</v>
      </c>
      <c r="D16" t="s">
        <v>89</v>
      </c>
      <c r="E16" t="s">
        <v>116</v>
      </c>
      <c r="F16" t="s">
        <v>3</v>
      </c>
      <c r="G16" s="31" t="str">
        <f>Table13[[#This Row],[PORT]]&amp;Table13[[#This Row],[VESSEL TYPE]]&amp;Table13[[#This Row],[VESSEL RUN]]&amp;Table13[[#This Row],[SERVICE]]</f>
        <v>DAHEJCOAL &amp; PROJECTFOREIGNPilotage</v>
      </c>
      <c r="H16">
        <f>Dahej!$C$4</f>
        <v>1.5580000000000001</v>
      </c>
      <c r="I16">
        <f>Dahej!$D$4</f>
        <v>925</v>
      </c>
      <c r="J16" t="s">
        <v>16</v>
      </c>
    </row>
    <row r="17" spans="2:10" hidden="1" x14ac:dyDescent="0.3">
      <c r="B17" t="s">
        <v>214</v>
      </c>
      <c r="C17" t="s">
        <v>80</v>
      </c>
      <c r="D17" t="s">
        <v>89</v>
      </c>
      <c r="E17" t="s">
        <v>116</v>
      </c>
      <c r="F17" t="s">
        <v>7</v>
      </c>
      <c r="G17" s="31" t="str">
        <f>Table13[[#This Row],[PORT]]&amp;Table13[[#This Row],[VESSEL TYPE]]&amp;Table13[[#This Row],[VESSEL RUN]]&amp;Table13[[#This Row],[SERVICE]]</f>
        <v>DAHEJCOAL &amp; PROJECTFOREIGNBerth Hire</v>
      </c>
      <c r="H17">
        <f>Dahej!$C$6</f>
        <v>1.9349999999999999E-2</v>
      </c>
      <c r="I17">
        <f>Dahej!$D$6</f>
        <v>820</v>
      </c>
      <c r="J17" t="s">
        <v>16</v>
      </c>
    </row>
    <row r="18" spans="2:10" hidden="1" x14ac:dyDescent="0.3">
      <c r="B18" t="s">
        <v>214</v>
      </c>
      <c r="C18" t="s">
        <v>80</v>
      </c>
      <c r="D18" t="s">
        <v>89</v>
      </c>
      <c r="E18" t="s">
        <v>116</v>
      </c>
      <c r="F18" t="s">
        <v>4</v>
      </c>
      <c r="G18" s="31" t="str">
        <f>Table13[[#This Row],[PORT]]&amp;Table13[[#This Row],[VESSEL TYPE]]&amp;Table13[[#This Row],[VESSEL RUN]]&amp;Table13[[#This Row],[SERVICE]]</f>
        <v>DAHEJCOAL &amp; PROJECTFOREIGNMooring</v>
      </c>
      <c r="H18">
        <f>Dahej!$C$8</f>
        <v>3.4720000000000001E-2</v>
      </c>
      <c r="I18">
        <f>Dahej!$D$8</f>
        <v>200</v>
      </c>
      <c r="J18" t="s">
        <v>16</v>
      </c>
    </row>
    <row r="19" spans="2:10" hidden="1" x14ac:dyDescent="0.3">
      <c r="B19" t="s">
        <v>214</v>
      </c>
      <c r="C19" t="s">
        <v>80</v>
      </c>
      <c r="D19" t="s">
        <v>89</v>
      </c>
      <c r="E19" t="s">
        <v>116</v>
      </c>
      <c r="F19" t="s">
        <v>75</v>
      </c>
      <c r="G19" s="31" t="str">
        <f>Table13[[#This Row],[PORT]]&amp;Table13[[#This Row],[VESSEL TYPE]]&amp;Table13[[#This Row],[VESSEL RUN]]&amp;Table13[[#This Row],[SERVICE]]</f>
        <v>DAHEJCOAL &amp; PROJECTFOREIGNPort Env &amp; Safety</v>
      </c>
      <c r="H19">
        <f>IF($AA$1&lt;=10000,Dahej!C9,IF($AA$1&lt;=30000,Dahej!C10,Dahej!C11))</f>
        <v>200</v>
      </c>
      <c r="I19">
        <f>IF(AD1&lt;=10000,Dahej!D9,IF(AD1&lt;=30000,Dahej!D10,Dahej!D11))</f>
        <v>0</v>
      </c>
      <c r="J19" t="s">
        <v>16</v>
      </c>
    </row>
    <row r="20" spans="2:10" hidden="1" x14ac:dyDescent="0.3">
      <c r="B20" t="s">
        <v>214</v>
      </c>
      <c r="C20" t="s">
        <v>96</v>
      </c>
      <c r="D20" t="s">
        <v>260</v>
      </c>
      <c r="E20" t="s">
        <v>116</v>
      </c>
      <c r="F20" t="s">
        <v>0</v>
      </c>
      <c r="G20" s="31" t="str">
        <f>Table13[[#This Row],[PORT]]&amp;Table13[[#This Row],[VESSEL TYPE]]&amp;Table13[[#This Row],[VESSEL RUN]]&amp;Table13[[#This Row],[SERVICE]]</f>
        <v>DHAMRAGENERALFOREIGNPort Dues</v>
      </c>
      <c r="H20">
        <f>Dhamra!C3</f>
        <v>5.4179999999999999E-2</v>
      </c>
      <c r="I20">
        <f>Dhamra!D3</f>
        <v>275</v>
      </c>
      <c r="J20" t="s">
        <v>16</v>
      </c>
    </row>
    <row r="21" spans="2:10" hidden="1" x14ac:dyDescent="0.3">
      <c r="B21" t="s">
        <v>214</v>
      </c>
      <c r="C21" t="s">
        <v>96</v>
      </c>
      <c r="D21" t="s">
        <v>260</v>
      </c>
      <c r="E21" t="s">
        <v>116</v>
      </c>
      <c r="F21" t="s">
        <v>3</v>
      </c>
      <c r="G21" s="31" t="str">
        <f>Table13[[#This Row],[PORT]]&amp;Table13[[#This Row],[VESSEL TYPE]]&amp;Table13[[#This Row],[VESSEL RUN]]&amp;Table13[[#This Row],[SERVICE]]</f>
        <v>DHAMRAGENERALFOREIGNPilotage</v>
      </c>
      <c r="H21">
        <f>IF($AA$1&lt;=60000,Dhamra!C4,Dhamra!C5)</f>
        <v>1.9731000000000001</v>
      </c>
      <c r="I21">
        <f>Dhamra!D4</f>
        <v>0</v>
      </c>
      <c r="J21" t="s">
        <v>16</v>
      </c>
    </row>
    <row r="22" spans="2:10" hidden="1" x14ac:dyDescent="0.3">
      <c r="B22" t="s">
        <v>214</v>
      </c>
      <c r="C22" t="s">
        <v>96</v>
      </c>
      <c r="D22" t="s">
        <v>260</v>
      </c>
      <c r="E22" t="s">
        <v>116</v>
      </c>
      <c r="F22" t="s">
        <v>7</v>
      </c>
      <c r="G22" s="31" t="str">
        <f>Table13[[#This Row],[PORT]]&amp;Table13[[#This Row],[VESSEL TYPE]]&amp;Table13[[#This Row],[VESSEL RUN]]&amp;Table13[[#This Row],[SERVICE]]</f>
        <v>DHAMRAGENERALFOREIGNBerth Hire</v>
      </c>
      <c r="H22">
        <f>IF($AA$1&lt;=60000,Dhamra!C6,Dhamra!C7)</f>
        <v>0.01</v>
      </c>
      <c r="I22">
        <f>IF(AA1&lt;60000,Dhamra!D6,Dhamra!D7)</f>
        <v>720</v>
      </c>
      <c r="J22" t="s">
        <v>16</v>
      </c>
    </row>
    <row r="23" spans="2:10" hidden="1" x14ac:dyDescent="0.3">
      <c r="B23" t="s">
        <v>214</v>
      </c>
      <c r="C23" t="s">
        <v>96</v>
      </c>
      <c r="D23" t="s">
        <v>260</v>
      </c>
      <c r="E23" t="s">
        <v>116</v>
      </c>
      <c r="F23" t="s">
        <v>4</v>
      </c>
      <c r="G23" s="31" t="str">
        <f>Table13[[#This Row],[PORT]]&amp;Table13[[#This Row],[VESSEL TYPE]]&amp;Table13[[#This Row],[VESSEL RUN]]&amp;Table13[[#This Row],[SERVICE]]</f>
        <v>DHAMRAGENERALFOREIGNMooring</v>
      </c>
      <c r="H23">
        <f>Dhamra!C8</f>
        <v>3.4720000000000001E-2</v>
      </c>
      <c r="I23">
        <f>Dhamra!D8</f>
        <v>0</v>
      </c>
      <c r="J23" t="s">
        <v>16</v>
      </c>
    </row>
    <row r="24" spans="2:10" hidden="1" x14ac:dyDescent="0.3">
      <c r="B24" t="s">
        <v>214</v>
      </c>
      <c r="C24" t="s">
        <v>96</v>
      </c>
      <c r="D24" t="s">
        <v>260</v>
      </c>
      <c r="E24" t="s">
        <v>116</v>
      </c>
      <c r="F24" t="s">
        <v>75</v>
      </c>
      <c r="G24" s="31" t="str">
        <f>Table13[[#This Row],[PORT]]&amp;Table13[[#This Row],[VESSEL TYPE]]&amp;Table13[[#This Row],[VESSEL RUN]]&amp;Table13[[#This Row],[SERVICE]]</f>
        <v>DHAMRAGENERALFOREIGNPort Env &amp; Safety</v>
      </c>
      <c r="H24">
        <f>IF($AA$1&lt;=10000,Dhamra!C9,IF($AA$1&lt;=30000,Dhamra!C10,Dhamra!C11))</f>
        <v>350</v>
      </c>
      <c r="J24" t="s">
        <v>16</v>
      </c>
    </row>
    <row r="25" spans="2:10" hidden="1" x14ac:dyDescent="0.3">
      <c r="B25" t="s">
        <v>214</v>
      </c>
      <c r="C25" t="s">
        <v>97</v>
      </c>
      <c r="D25" t="s">
        <v>115</v>
      </c>
      <c r="E25" t="s">
        <v>116</v>
      </c>
      <c r="F25" t="s">
        <v>3</v>
      </c>
      <c r="G25" s="31" t="str">
        <f>Table13[[#This Row],[PORT]]&amp;Table13[[#This Row],[VESSEL TYPE]]&amp;Table13[[#This Row],[VESSEL RUN]]&amp;Table13[[#This Row],[SERVICE]]</f>
        <v>KATTUPALLICONTAINERFOREIGNPilotage</v>
      </c>
      <c r="H25">
        <f>IF($AA$1&lt;=3000,Kattupalli!C5,IF('Tariff Master'!$AA$1&lt;=10000,Kattupalli!C6,IF('Tariff Master'!$AA$1&lt;=15000,Kattupalli!C7,IF('Tariff Master'!$AA$1&lt;=30000,Kattupalli!C8,IF('Tariff Master'!$AA$1&lt;=60000,Kattupalli!C9,Kattupalli!C10)))))</f>
        <v>0.622</v>
      </c>
      <c r="I25">
        <f>IF(AA1&lt;3000,Kattupalli!D5,Kattupalli!D6)</f>
        <v>3050</v>
      </c>
      <c r="J25" t="s">
        <v>16</v>
      </c>
    </row>
    <row r="26" spans="2:10" hidden="1" x14ac:dyDescent="0.3">
      <c r="B26" t="s">
        <v>214</v>
      </c>
      <c r="C26" t="s">
        <v>97</v>
      </c>
      <c r="D26" t="s">
        <v>115</v>
      </c>
      <c r="E26" t="s">
        <v>116</v>
      </c>
      <c r="F26" t="s">
        <v>7</v>
      </c>
      <c r="G26" s="31" t="str">
        <f>Table13[[#This Row],[PORT]]&amp;Table13[[#This Row],[VESSEL TYPE]]&amp;Table13[[#This Row],[VESSEL RUN]]&amp;Table13[[#This Row],[SERVICE]]</f>
        <v>KATTUPALLICONTAINERFOREIGNBerth Hire</v>
      </c>
      <c r="H26">
        <f>Kattupalli!C29</f>
        <v>3.5000000000000001E-3</v>
      </c>
      <c r="I26">
        <f>Kattupalli!D29</f>
        <v>732</v>
      </c>
      <c r="J26" t="s">
        <v>16</v>
      </c>
    </row>
    <row r="27" spans="2:10" hidden="1" x14ac:dyDescent="0.3">
      <c r="B27" t="s">
        <v>214</v>
      </c>
      <c r="C27" t="s">
        <v>97</v>
      </c>
      <c r="D27" t="s">
        <v>115</v>
      </c>
      <c r="E27" t="s">
        <v>163</v>
      </c>
      <c r="F27" t="s">
        <v>3</v>
      </c>
      <c r="G27" s="31" t="str">
        <f>Table13[[#This Row],[PORT]]&amp;Table13[[#This Row],[VESSEL TYPE]]&amp;Table13[[#This Row],[VESSEL RUN]]&amp;Table13[[#This Row],[SERVICE]]</f>
        <v>KATTUPALLICONTAINERCOASTALPilotage</v>
      </c>
      <c r="H27">
        <f>IF($AA$1&lt;=3000,Kattupalli!C11,IF('Tariff Master'!$AA$1&lt;=10000,Kattupalli!C12,IF('Tariff Master'!$AA$1&lt;=15000,Kattupalli!C13,IF('Tariff Master'!$AA$1&lt;=30000,Kattupalli!C14,IF('Tariff Master'!$AA$1&lt;=60000,Kattupalli!C15,Kattupalli!C16)))))</f>
        <v>17.079999999999998</v>
      </c>
      <c r="I27">
        <f>IF(AA1&lt;30000,Kattupalli!D11,Kattupalli!D12)</f>
        <v>36600</v>
      </c>
      <c r="J27" t="s">
        <v>41</v>
      </c>
    </row>
    <row r="28" spans="2:10" hidden="1" x14ac:dyDescent="0.3">
      <c r="B28" t="s">
        <v>214</v>
      </c>
      <c r="C28" t="s">
        <v>97</v>
      </c>
      <c r="D28" t="s">
        <v>115</v>
      </c>
      <c r="E28" t="s">
        <v>163</v>
      </c>
      <c r="F28" t="s">
        <v>7</v>
      </c>
      <c r="G28" s="31" t="str">
        <f>Table13[[#This Row],[PORT]]&amp;Table13[[#This Row],[VESSEL TYPE]]&amp;Table13[[#This Row],[VESSEL RUN]]&amp;Table13[[#This Row],[SERVICE]]</f>
        <v>KATTUPALLICONTAINERCOASTALBerth Hire</v>
      </c>
      <c r="H28">
        <f>Kattupalli!C30</f>
        <v>0.1</v>
      </c>
      <c r="I28">
        <f>Kattupalli!D30</f>
        <v>12200</v>
      </c>
      <c r="J28" t="s">
        <v>41</v>
      </c>
    </row>
    <row r="29" spans="2:10" hidden="1" x14ac:dyDescent="0.3">
      <c r="B29" t="s">
        <v>214</v>
      </c>
      <c r="C29" t="s">
        <v>97</v>
      </c>
      <c r="D29" t="s">
        <v>115</v>
      </c>
      <c r="E29" t="s">
        <v>116</v>
      </c>
      <c r="F29" t="s">
        <v>4</v>
      </c>
      <c r="G29" s="31" t="str">
        <f>Table13[[#This Row],[PORT]]&amp;Table13[[#This Row],[VESSEL TYPE]]&amp;Table13[[#This Row],[VESSEL RUN]]&amp;Table13[[#This Row],[SERVICE]]</f>
        <v>KATTUPALLICONTAINERFOREIGNMooring</v>
      </c>
      <c r="H29">
        <f>Kattupalli!C33</f>
        <v>3.5000000000000003E-2</v>
      </c>
      <c r="I29">
        <f>Kattupalli!D33</f>
        <v>200</v>
      </c>
      <c r="J29" t="s">
        <v>16</v>
      </c>
    </row>
    <row r="30" spans="2:10" hidden="1" x14ac:dyDescent="0.3">
      <c r="B30" t="s">
        <v>214</v>
      </c>
      <c r="C30" t="s">
        <v>97</v>
      </c>
      <c r="D30" t="s">
        <v>115</v>
      </c>
      <c r="E30" t="s">
        <v>163</v>
      </c>
      <c r="F30" t="s">
        <v>4</v>
      </c>
      <c r="G30" s="31" t="str">
        <f>Table13[[#This Row],[PORT]]&amp;Table13[[#This Row],[VESSEL TYPE]]&amp;Table13[[#This Row],[VESSEL RUN]]&amp;Table13[[#This Row],[SERVICE]]</f>
        <v>KATTUPALLICONTAINERCOASTALMooring</v>
      </c>
      <c r="H30">
        <f>Kattupalli!C33</f>
        <v>3.5000000000000003E-2</v>
      </c>
      <c r="I30">
        <f>Kattupalli!D33</f>
        <v>200</v>
      </c>
      <c r="J30" t="s">
        <v>16</v>
      </c>
    </row>
    <row r="31" spans="2:10" hidden="1" x14ac:dyDescent="0.3">
      <c r="B31" t="s">
        <v>214</v>
      </c>
      <c r="C31" t="s">
        <v>97</v>
      </c>
      <c r="D31" t="s">
        <v>115</v>
      </c>
      <c r="E31" t="s">
        <v>116</v>
      </c>
      <c r="F31" t="s">
        <v>75</v>
      </c>
      <c r="G31" s="31" t="str">
        <f>Table13[[#This Row],[PORT]]&amp;Table13[[#This Row],[VESSEL TYPE]]&amp;Table13[[#This Row],[VESSEL RUN]]&amp;Table13[[#This Row],[SERVICE]]</f>
        <v>KATTUPALLICONTAINERFOREIGNPort Env &amp; Safety</v>
      </c>
      <c r="H31">
        <f>IF($AA$1&lt;=10000,Kattupalli!C34,IF($AA$1&lt;=30000,Kattupalli!C35,Kattupalli!C36))</f>
        <v>200</v>
      </c>
      <c r="I31">
        <f>IF(I3&lt;=10000,Kattupalli!D34,IF(I3&lt;30000,Kattupalli!D35,Kattupalli!D36))</f>
        <v>0</v>
      </c>
      <c r="J31" t="s">
        <v>16</v>
      </c>
    </row>
    <row r="32" spans="2:10" hidden="1" x14ac:dyDescent="0.3">
      <c r="B32" t="s">
        <v>214</v>
      </c>
      <c r="C32" t="s">
        <v>97</v>
      </c>
      <c r="D32" t="s">
        <v>115</v>
      </c>
      <c r="E32" t="s">
        <v>163</v>
      </c>
      <c r="F32" t="s">
        <v>75</v>
      </c>
      <c r="G32" s="31" t="str">
        <f>Table13[[#This Row],[PORT]]&amp;Table13[[#This Row],[VESSEL TYPE]]&amp;Table13[[#This Row],[VESSEL RUN]]&amp;Table13[[#This Row],[SERVICE]]</f>
        <v>KATTUPALLICONTAINERCOASTALPort Env &amp; Safety</v>
      </c>
      <c r="H32">
        <f>IF($AA$1&lt;=10000,Kattupalli!C34,IF($AA$1&lt;=30000,Kattupalli!C35,Kattupalli!C36))</f>
        <v>200</v>
      </c>
      <c r="I32">
        <f>IF(I3&lt;=10000,Kattupalli!D34,IF(I3&lt;30000,Kattupalli!D35,Kattupalli!D36))</f>
        <v>0</v>
      </c>
      <c r="J32" t="s">
        <v>16</v>
      </c>
    </row>
    <row r="33" spans="2:10" hidden="1" x14ac:dyDescent="0.3">
      <c r="B33" t="s">
        <v>214</v>
      </c>
      <c r="C33" t="s">
        <v>97</v>
      </c>
      <c r="D33" t="s">
        <v>260</v>
      </c>
      <c r="E33" t="s">
        <v>116</v>
      </c>
      <c r="F33" t="s">
        <v>3</v>
      </c>
      <c r="G33" s="31" t="str">
        <f>Table13[[#This Row],[PORT]]&amp;Table13[[#This Row],[VESSEL TYPE]]&amp;Table13[[#This Row],[VESSEL RUN]]&amp;Table13[[#This Row],[SERVICE]]</f>
        <v>KATTUPALLIGENERALFOREIGNPilotage</v>
      </c>
      <c r="H33">
        <f>IF($AA$1&lt;=3000,Kattupalli!C17,IF('Tariff Master'!$AA$1&lt;=10000,Kattupalli!C18,IF('Tariff Master'!$AA$1&lt;=15000,Kattupalli!C19,IF('Tariff Master'!$AA$1&lt;=30000,Kattupalli!C20,IF('Tariff Master'!$AA$1&lt;=60000,Kattupalli!C21,Kattupalli!C22)))))</f>
        <v>0.73199999999999998</v>
      </c>
      <c r="I33">
        <f>IF(AA1&lt;3000,Kattupalli!D17,Kattupalli!D18)</f>
        <v>3294</v>
      </c>
      <c r="J33" t="s">
        <v>16</v>
      </c>
    </row>
    <row r="34" spans="2:10" hidden="1" x14ac:dyDescent="0.3">
      <c r="B34" t="s">
        <v>214</v>
      </c>
      <c r="C34" t="s">
        <v>97</v>
      </c>
      <c r="D34" t="s">
        <v>260</v>
      </c>
      <c r="E34" t="s">
        <v>116</v>
      </c>
      <c r="F34" t="s">
        <v>7</v>
      </c>
      <c r="G34" s="31" t="str">
        <f>Table13[[#This Row],[PORT]]&amp;Table13[[#This Row],[VESSEL TYPE]]&amp;Table13[[#This Row],[VESSEL RUN]]&amp;Table13[[#This Row],[SERVICE]]</f>
        <v>KATTUPALLIGENERALFOREIGNBerth Hire</v>
      </c>
      <c r="H34">
        <f>Kattupalli!C31</f>
        <v>4.8999999999999998E-3</v>
      </c>
      <c r="I34">
        <f>Kattupalli!D31</f>
        <v>732</v>
      </c>
      <c r="J34" t="s">
        <v>16</v>
      </c>
    </row>
    <row r="35" spans="2:10" hidden="1" x14ac:dyDescent="0.3">
      <c r="B35" t="s">
        <v>214</v>
      </c>
      <c r="C35" t="s">
        <v>97</v>
      </c>
      <c r="D35" t="s">
        <v>260</v>
      </c>
      <c r="E35" t="s">
        <v>163</v>
      </c>
      <c r="F35" t="s">
        <v>3</v>
      </c>
      <c r="G35" s="31" t="str">
        <f>Table13[[#This Row],[PORT]]&amp;Table13[[#This Row],[VESSEL TYPE]]&amp;Table13[[#This Row],[VESSEL RUN]]&amp;Table13[[#This Row],[SERVICE]]</f>
        <v>KATTUPALLIGENERALCOASTALPilotage</v>
      </c>
      <c r="H35">
        <f>IF($AA$1&lt;=3000,Kattupalli!C23,IF('Tariff Master'!$AA$1&lt;=10000,Kattupalli!C24,IF('Tariff Master'!$AA$1&lt;=15000,Kattupalli!C25,IF('Tariff Master'!$AA$1&lt;=30000,Kattupalli!C26,IF('Tariff Master'!$AA$1&lt;=60000,Kattupalli!C27,Kattupalli!C28)))))</f>
        <v>17.079999999999998</v>
      </c>
      <c r="I35">
        <f>IF(AA1&lt;3000,Kattupalli!D23,Kattupalli!D24)</f>
        <v>36600</v>
      </c>
      <c r="J35" t="s">
        <v>41</v>
      </c>
    </row>
    <row r="36" spans="2:10" hidden="1" x14ac:dyDescent="0.3">
      <c r="B36" t="s">
        <v>214</v>
      </c>
      <c r="C36" t="s">
        <v>97</v>
      </c>
      <c r="D36" t="s">
        <v>260</v>
      </c>
      <c r="E36" t="s">
        <v>163</v>
      </c>
      <c r="F36" t="s">
        <v>7</v>
      </c>
      <c r="G36" s="31" t="str">
        <f>Table13[[#This Row],[PORT]]&amp;Table13[[#This Row],[VESSEL TYPE]]&amp;Table13[[#This Row],[VESSEL RUN]]&amp;Table13[[#This Row],[SERVICE]]</f>
        <v>KATTUPALLIGENERALCOASTALBerth Hire</v>
      </c>
      <c r="H36">
        <f>Kattupalli!C32</f>
        <v>0.12</v>
      </c>
      <c r="I36">
        <f>Kattupalli!D32</f>
        <v>12200</v>
      </c>
      <c r="J36" t="s">
        <v>41</v>
      </c>
    </row>
    <row r="37" spans="2:10" hidden="1" x14ac:dyDescent="0.3">
      <c r="B37" t="s">
        <v>214</v>
      </c>
      <c r="C37" t="s">
        <v>97</v>
      </c>
      <c r="D37" t="s">
        <v>260</v>
      </c>
      <c r="E37" t="s">
        <v>116</v>
      </c>
      <c r="F37" t="s">
        <v>4</v>
      </c>
      <c r="G37" s="31" t="str">
        <f>Table13[[#This Row],[PORT]]&amp;Table13[[#This Row],[VESSEL TYPE]]&amp;Table13[[#This Row],[VESSEL RUN]]&amp;Table13[[#This Row],[SERVICE]]</f>
        <v>KATTUPALLIGENERALFOREIGNMooring</v>
      </c>
      <c r="H37">
        <f>Kattupalli!C33</f>
        <v>3.5000000000000003E-2</v>
      </c>
      <c r="I37">
        <f>Kattupalli!D33</f>
        <v>200</v>
      </c>
      <c r="J37" t="s">
        <v>16</v>
      </c>
    </row>
    <row r="38" spans="2:10" hidden="1" x14ac:dyDescent="0.3">
      <c r="B38" t="s">
        <v>214</v>
      </c>
      <c r="C38" t="s">
        <v>97</v>
      </c>
      <c r="D38" t="s">
        <v>260</v>
      </c>
      <c r="E38" t="s">
        <v>163</v>
      </c>
      <c r="F38" t="s">
        <v>4</v>
      </c>
      <c r="G38" s="31" t="str">
        <f>Table13[[#This Row],[PORT]]&amp;Table13[[#This Row],[VESSEL TYPE]]&amp;Table13[[#This Row],[VESSEL RUN]]&amp;Table13[[#This Row],[SERVICE]]</f>
        <v>KATTUPALLIGENERALCOASTALMooring</v>
      </c>
      <c r="H38">
        <f>Kattupalli!C33</f>
        <v>3.5000000000000003E-2</v>
      </c>
      <c r="I38">
        <f>Kattupalli!D33</f>
        <v>200</v>
      </c>
      <c r="J38" t="s">
        <v>16</v>
      </c>
    </row>
    <row r="39" spans="2:10" hidden="1" x14ac:dyDescent="0.3">
      <c r="B39" t="s">
        <v>214</v>
      </c>
      <c r="C39" t="s">
        <v>97</v>
      </c>
      <c r="D39" t="s">
        <v>260</v>
      </c>
      <c r="E39" t="s">
        <v>116</v>
      </c>
      <c r="F39" t="s">
        <v>75</v>
      </c>
      <c r="G39" s="31" t="str">
        <f>Table13[[#This Row],[PORT]]&amp;Table13[[#This Row],[VESSEL TYPE]]&amp;Table13[[#This Row],[VESSEL RUN]]&amp;Table13[[#This Row],[SERVICE]]</f>
        <v>KATTUPALLIGENERALFOREIGNPort Env &amp; Safety</v>
      </c>
      <c r="H39">
        <f>IF($AA$1&lt;=10000,Kattupalli!C34,IF($AA$1&lt;=30000,Kattupalli!C35,Kattupalli!C36))</f>
        <v>200</v>
      </c>
      <c r="I39">
        <f>IF(I3&lt;=10000,Kattupalli!D34,IF(I3&lt;30000,Kattupalli!D35,Kattupalli!D36))</f>
        <v>0</v>
      </c>
      <c r="J39" t="s">
        <v>16</v>
      </c>
    </row>
    <row r="40" spans="2:10" hidden="1" x14ac:dyDescent="0.3">
      <c r="B40" t="s">
        <v>214</v>
      </c>
      <c r="C40" t="s">
        <v>97</v>
      </c>
      <c r="D40" t="s">
        <v>260</v>
      </c>
      <c r="E40" t="s">
        <v>163</v>
      </c>
      <c r="F40" t="s">
        <v>75</v>
      </c>
      <c r="G40" s="31" t="str">
        <f>Table13[[#This Row],[PORT]]&amp;Table13[[#This Row],[VESSEL TYPE]]&amp;Table13[[#This Row],[VESSEL RUN]]&amp;Table13[[#This Row],[SERVICE]]</f>
        <v>KATTUPALLIGENERALCOASTALPort Env &amp; Safety</v>
      </c>
      <c r="H40">
        <f>IF($AA$1&lt;=10000,Kattupalli!C34,IF($AA$1&lt;=30000,Kattupalli!C35,Kattupalli!C36))</f>
        <v>200</v>
      </c>
      <c r="I40">
        <f>IF(I3&lt;=10000,Kattupalli!D34,IF(I3&lt;30000,Kattupalli!D35,Kattupalli!D36))</f>
        <v>0</v>
      </c>
      <c r="J40" t="s">
        <v>16</v>
      </c>
    </row>
    <row r="41" spans="2:10" hidden="1" x14ac:dyDescent="0.3">
      <c r="B41" t="s">
        <v>214</v>
      </c>
      <c r="C41" t="s">
        <v>95</v>
      </c>
      <c r="D41" t="s">
        <v>164</v>
      </c>
      <c r="E41" t="s">
        <v>116</v>
      </c>
      <c r="F41" t="s">
        <v>0</v>
      </c>
      <c r="G41" s="31" t="str">
        <f>Table13[[#This Row],[PORT]]&amp;Table13[[#This Row],[VESSEL TYPE]]&amp;Table13[[#This Row],[VESSEL RUN]]&amp;Table13[[#This Row],[SERVICE]]</f>
        <v>HAZIRALNGFOREIGNPort Dues</v>
      </c>
      <c r="H41">
        <f>Hazira!C4</f>
        <v>0.34539999999999998</v>
      </c>
      <c r="I41">
        <f>Hazira!D4</f>
        <v>0</v>
      </c>
      <c r="J41" t="s">
        <v>16</v>
      </c>
    </row>
    <row r="42" spans="2:10" hidden="1" x14ac:dyDescent="0.3">
      <c r="B42" t="s">
        <v>214</v>
      </c>
      <c r="C42" t="s">
        <v>95</v>
      </c>
      <c r="D42" t="s">
        <v>164</v>
      </c>
      <c r="E42" t="s">
        <v>116</v>
      </c>
      <c r="F42" t="s">
        <v>3</v>
      </c>
      <c r="G42" s="31" t="str">
        <f>Table13[[#This Row],[PORT]]&amp;Table13[[#This Row],[VESSEL TYPE]]&amp;Table13[[#This Row],[VESSEL RUN]]&amp;Table13[[#This Row],[SERVICE]]</f>
        <v>HAZIRALNGFOREIGNPilotage</v>
      </c>
      <c r="H42">
        <f>Hazira!C5</f>
        <v>0.59550000000000003</v>
      </c>
      <c r="I42">
        <f>Hazira!D5</f>
        <v>0</v>
      </c>
      <c r="J42" t="s">
        <v>16</v>
      </c>
    </row>
    <row r="43" spans="2:10" hidden="1" x14ac:dyDescent="0.3">
      <c r="B43" t="s">
        <v>214</v>
      </c>
      <c r="C43" t="s">
        <v>95</v>
      </c>
      <c r="D43" t="s">
        <v>260</v>
      </c>
      <c r="E43" t="s">
        <v>116</v>
      </c>
      <c r="F43" t="s">
        <v>0</v>
      </c>
      <c r="G43" s="31" t="str">
        <f>Table13[[#This Row],[PORT]]&amp;Table13[[#This Row],[VESSEL TYPE]]&amp;Table13[[#This Row],[VESSEL RUN]]&amp;Table13[[#This Row],[SERVICE]]</f>
        <v>HAZIRAGENERALFOREIGNPort Dues</v>
      </c>
      <c r="H43">
        <f>Hazira!C9</f>
        <v>5.2999999999999999E-2</v>
      </c>
      <c r="I43">
        <f>Hazira!D9</f>
        <v>375</v>
      </c>
      <c r="J43" t="s">
        <v>16</v>
      </c>
    </row>
    <row r="44" spans="2:10" hidden="1" x14ac:dyDescent="0.3">
      <c r="B44" t="s">
        <v>214</v>
      </c>
      <c r="C44" t="s">
        <v>95</v>
      </c>
      <c r="D44" t="s">
        <v>260</v>
      </c>
      <c r="E44" t="s">
        <v>116</v>
      </c>
      <c r="F44" t="s">
        <v>3</v>
      </c>
      <c r="G44" s="31" t="str">
        <f>Table13[[#This Row],[PORT]]&amp;Table13[[#This Row],[VESSEL TYPE]]&amp;Table13[[#This Row],[VESSEL RUN]]&amp;Table13[[#This Row],[SERVICE]]</f>
        <v>HAZIRAGENERALFOREIGNPilotage</v>
      </c>
      <c r="H44">
        <f>Hazira!C10</f>
        <v>1.01</v>
      </c>
      <c r="I44">
        <f>IF(AA1&lt;=3000,Hazira!D10,IF('Tariff Master'!AA1&lt;15000,Hazira!D11,Hazira!D12))</f>
        <v>16275</v>
      </c>
      <c r="J44" t="s">
        <v>16</v>
      </c>
    </row>
    <row r="45" spans="2:10" hidden="1" x14ac:dyDescent="0.3">
      <c r="B45" t="s">
        <v>214</v>
      </c>
      <c r="C45" t="s">
        <v>95</v>
      </c>
      <c r="D45" t="s">
        <v>260</v>
      </c>
      <c r="E45" t="s">
        <v>116</v>
      </c>
      <c r="F45" t="s">
        <v>7</v>
      </c>
      <c r="G45" s="31" t="str">
        <f>Table13[[#This Row],[PORT]]&amp;Table13[[#This Row],[VESSEL TYPE]]&amp;Table13[[#This Row],[VESSEL RUN]]&amp;Table13[[#This Row],[SERVICE]]</f>
        <v>HAZIRAGENERALFOREIGNBerth Hire</v>
      </c>
      <c r="H45">
        <f>Hazira!C17</f>
        <v>8.5000000000000006E-3</v>
      </c>
      <c r="I45">
        <f>Hazira!D17</f>
        <v>438.6</v>
      </c>
      <c r="J45" t="s">
        <v>16</v>
      </c>
    </row>
    <row r="46" spans="2:10" hidden="1" x14ac:dyDescent="0.3">
      <c r="B46" t="s">
        <v>214</v>
      </c>
      <c r="C46" t="s">
        <v>95</v>
      </c>
      <c r="D46" t="s">
        <v>260</v>
      </c>
      <c r="E46" t="s">
        <v>116</v>
      </c>
      <c r="F46" t="s">
        <v>4</v>
      </c>
      <c r="G46" s="31" t="str">
        <f>Table13[[#This Row],[PORT]]&amp;Table13[[#This Row],[VESSEL TYPE]]&amp;Table13[[#This Row],[VESSEL RUN]]&amp;Table13[[#This Row],[SERVICE]]</f>
        <v>HAZIRAGENERALFOREIGNMooring</v>
      </c>
      <c r="H46">
        <f>Hazira!C19</f>
        <v>3.4720000000000001E-2</v>
      </c>
      <c r="I46">
        <f>Hazira!D19</f>
        <v>200</v>
      </c>
      <c r="J46" t="s">
        <v>16</v>
      </c>
    </row>
    <row r="47" spans="2:10" hidden="1" x14ac:dyDescent="0.3">
      <c r="B47" t="s">
        <v>214</v>
      </c>
      <c r="C47" t="s">
        <v>95</v>
      </c>
      <c r="D47" t="s">
        <v>260</v>
      </c>
      <c r="E47" t="s">
        <v>116</v>
      </c>
      <c r="F47" t="s">
        <v>75</v>
      </c>
      <c r="G47" s="31" t="str">
        <f>Table13[[#This Row],[PORT]]&amp;Table13[[#This Row],[VESSEL TYPE]]&amp;Table13[[#This Row],[VESSEL RUN]]&amp;Table13[[#This Row],[SERVICE]]</f>
        <v>HAZIRAGENERALFOREIGNPort Env &amp; Safety</v>
      </c>
      <c r="H47">
        <f>IF($AA$1&lt;=10000,Hazira!C20,IF($AA$1&lt;=30000,Hazira!C21,Hazira!C22))</f>
        <v>200</v>
      </c>
      <c r="I47">
        <f>IF(I3&lt;=10000,Hazira!D20,IF(I3&lt;30000,Hazira!D21,Hazira!D22))</f>
        <v>0</v>
      </c>
      <c r="J47" t="s">
        <v>16</v>
      </c>
    </row>
    <row r="48" spans="2:10" hidden="1" x14ac:dyDescent="0.3">
      <c r="B48" t="s">
        <v>214</v>
      </c>
      <c r="C48" t="s">
        <v>95</v>
      </c>
      <c r="D48" t="s">
        <v>115</v>
      </c>
      <c r="E48" t="s">
        <v>116</v>
      </c>
      <c r="F48" t="s">
        <v>0</v>
      </c>
      <c r="G48" s="31" t="str">
        <f>Table13[[#This Row],[PORT]]&amp;Table13[[#This Row],[VESSEL TYPE]]&amp;Table13[[#This Row],[VESSEL RUN]]&amp;Table13[[#This Row],[SERVICE]]</f>
        <v>HAZIRACONTAINERFOREIGNPort Dues</v>
      </c>
      <c r="H48">
        <f>Hazira!C9</f>
        <v>5.2999999999999999E-2</v>
      </c>
      <c r="I48">
        <f>Hazira!D9</f>
        <v>375</v>
      </c>
      <c r="J48" t="s">
        <v>16</v>
      </c>
    </row>
    <row r="49" spans="2:10" hidden="1" x14ac:dyDescent="0.3">
      <c r="B49" t="s">
        <v>214</v>
      </c>
      <c r="C49" t="s">
        <v>95</v>
      </c>
      <c r="D49" t="s">
        <v>115</v>
      </c>
      <c r="E49" t="s">
        <v>116</v>
      </c>
      <c r="F49" t="s">
        <v>3</v>
      </c>
      <c r="G49" s="31" t="str">
        <f>Table13[[#This Row],[PORT]]&amp;Table13[[#This Row],[VESSEL TYPE]]&amp;Table13[[#This Row],[VESSEL RUN]]&amp;Table13[[#This Row],[SERVICE]]</f>
        <v>HAZIRACONTAINERFOREIGNPilotage</v>
      </c>
      <c r="H49">
        <f>Hazira!C13</f>
        <v>0.84</v>
      </c>
      <c r="I49">
        <f>Hazira!D13</f>
        <v>7610</v>
      </c>
      <c r="J49" t="s">
        <v>16</v>
      </c>
    </row>
    <row r="50" spans="2:10" hidden="1" x14ac:dyDescent="0.3">
      <c r="B50" t="s">
        <v>214</v>
      </c>
      <c r="C50" t="s">
        <v>95</v>
      </c>
      <c r="D50" t="s">
        <v>115</v>
      </c>
      <c r="E50" t="s">
        <v>116</v>
      </c>
      <c r="F50" t="s">
        <v>7</v>
      </c>
      <c r="G50" s="31" t="str">
        <f>Table13[[#This Row],[PORT]]&amp;Table13[[#This Row],[VESSEL TYPE]]&amp;Table13[[#This Row],[VESSEL RUN]]&amp;Table13[[#This Row],[SERVICE]]</f>
        <v>HAZIRACONTAINERFOREIGNBerth Hire</v>
      </c>
      <c r="H50">
        <f>Hazira!C17</f>
        <v>8.5000000000000006E-3</v>
      </c>
      <c r="I50">
        <f>Hazira!D17</f>
        <v>438.6</v>
      </c>
      <c r="J50" t="s">
        <v>16</v>
      </c>
    </row>
    <row r="51" spans="2:10" hidden="1" x14ac:dyDescent="0.3">
      <c r="B51" t="s">
        <v>214</v>
      </c>
      <c r="C51" t="s">
        <v>95</v>
      </c>
      <c r="D51" t="s">
        <v>115</v>
      </c>
      <c r="E51" t="s">
        <v>116</v>
      </c>
      <c r="F51" t="s">
        <v>4</v>
      </c>
      <c r="G51" s="31" t="str">
        <f>Table13[[#This Row],[PORT]]&amp;Table13[[#This Row],[VESSEL TYPE]]&amp;Table13[[#This Row],[VESSEL RUN]]&amp;Table13[[#This Row],[SERVICE]]</f>
        <v>HAZIRACONTAINERFOREIGNMooring</v>
      </c>
      <c r="H51">
        <f>Hazira!C19</f>
        <v>3.4720000000000001E-2</v>
      </c>
      <c r="I51">
        <f>Hazira!D19</f>
        <v>200</v>
      </c>
      <c r="J51" t="s">
        <v>16</v>
      </c>
    </row>
    <row r="52" spans="2:10" hidden="1" x14ac:dyDescent="0.3">
      <c r="B52" t="s">
        <v>214</v>
      </c>
      <c r="C52" t="s">
        <v>95</v>
      </c>
      <c r="D52" t="s">
        <v>115</v>
      </c>
      <c r="E52" t="s">
        <v>116</v>
      </c>
      <c r="F52" t="s">
        <v>75</v>
      </c>
      <c r="G52" s="31" t="str">
        <f>Table13[[#This Row],[PORT]]&amp;Table13[[#This Row],[VESSEL TYPE]]&amp;Table13[[#This Row],[VESSEL RUN]]&amp;Table13[[#This Row],[SERVICE]]</f>
        <v>HAZIRACONTAINERFOREIGNPort Env &amp; Safety</v>
      </c>
      <c r="H52">
        <f>IF($AA$1&lt;=10000,Hazira!C20,IF($AA$1&lt;=30000,Hazira!C21,Hazira!C22))</f>
        <v>200</v>
      </c>
      <c r="I52">
        <f>IF(I3&lt;=10000,Hazira!D20,IF(I3&lt;30000,Hazira!D21,Hazira!D22))</f>
        <v>0</v>
      </c>
      <c r="J52" t="s">
        <v>16</v>
      </c>
    </row>
    <row r="53" spans="2:10" hidden="1" x14ac:dyDescent="0.3">
      <c r="B53" t="s">
        <v>214</v>
      </c>
      <c r="C53" t="s">
        <v>95</v>
      </c>
      <c r="D53" t="s">
        <v>165</v>
      </c>
      <c r="E53" t="s">
        <v>116</v>
      </c>
      <c r="F53" t="s">
        <v>0</v>
      </c>
      <c r="G53" s="31" t="str">
        <f>Table13[[#This Row],[PORT]]&amp;Table13[[#This Row],[VESSEL TYPE]]&amp;Table13[[#This Row],[VESSEL RUN]]&amp;Table13[[#This Row],[SERVICE]]</f>
        <v>HAZIRATANKERFOREIGNPort Dues</v>
      </c>
      <c r="H53">
        <f>Hazira!C9</f>
        <v>5.2999999999999999E-2</v>
      </c>
      <c r="I53">
        <f>Hazira!D9</f>
        <v>375</v>
      </c>
      <c r="J53" t="s">
        <v>16</v>
      </c>
    </row>
    <row r="54" spans="2:10" hidden="1" x14ac:dyDescent="0.3">
      <c r="B54" t="s">
        <v>214</v>
      </c>
      <c r="C54" t="s">
        <v>95</v>
      </c>
      <c r="D54" t="s">
        <v>165</v>
      </c>
      <c r="E54" t="s">
        <v>116</v>
      </c>
      <c r="F54" t="s">
        <v>3</v>
      </c>
      <c r="G54" s="31" t="str">
        <f>Table13[[#This Row],[PORT]]&amp;Table13[[#This Row],[VESSEL TYPE]]&amp;Table13[[#This Row],[VESSEL RUN]]&amp;Table13[[#This Row],[SERVICE]]</f>
        <v>HAZIRATANKERFOREIGNPilotage</v>
      </c>
      <c r="H54">
        <f>IF($AA$1&lt;=25000,Hazira!C14,Hazira!C16)</f>
        <v>1.07</v>
      </c>
      <c r="I54">
        <f>IF(AA1&lt;=15000,Hazira!D14,Hazira!D15)</f>
        <v>16275</v>
      </c>
      <c r="J54" t="s">
        <v>16</v>
      </c>
    </row>
    <row r="55" spans="2:10" hidden="1" x14ac:dyDescent="0.3">
      <c r="B55" t="s">
        <v>214</v>
      </c>
      <c r="C55" t="s">
        <v>95</v>
      </c>
      <c r="D55" t="s">
        <v>165</v>
      </c>
      <c r="E55" t="s">
        <v>116</v>
      </c>
      <c r="F55" t="s">
        <v>7</v>
      </c>
      <c r="G55" s="31" t="str">
        <f>Table13[[#This Row],[PORT]]&amp;Table13[[#This Row],[VESSEL TYPE]]&amp;Table13[[#This Row],[VESSEL RUN]]&amp;Table13[[#This Row],[SERVICE]]</f>
        <v>HAZIRATANKERFOREIGNBerth Hire</v>
      </c>
      <c r="H55">
        <f>IF($AA$1&lt;=25000,Hazira!C18,Hazira!C17)</f>
        <v>8.5000000000000006E-3</v>
      </c>
      <c r="I55">
        <f>Hazira!D18</f>
        <v>438.6</v>
      </c>
      <c r="J55" t="s">
        <v>16</v>
      </c>
    </row>
    <row r="56" spans="2:10" hidden="1" x14ac:dyDescent="0.3">
      <c r="B56" t="s">
        <v>214</v>
      </c>
      <c r="C56" t="s">
        <v>95</v>
      </c>
      <c r="D56" t="s">
        <v>165</v>
      </c>
      <c r="E56" t="s">
        <v>116</v>
      </c>
      <c r="F56" t="s">
        <v>4</v>
      </c>
      <c r="G56" s="31" t="str">
        <f>Table13[[#This Row],[PORT]]&amp;Table13[[#This Row],[VESSEL TYPE]]&amp;Table13[[#This Row],[VESSEL RUN]]&amp;Table13[[#This Row],[SERVICE]]</f>
        <v>HAZIRATANKERFOREIGNMooring</v>
      </c>
      <c r="H56">
        <f>Hazira!C19</f>
        <v>3.4720000000000001E-2</v>
      </c>
      <c r="I56">
        <f>Hazira!D19</f>
        <v>200</v>
      </c>
      <c r="J56" t="s">
        <v>16</v>
      </c>
    </row>
    <row r="57" spans="2:10" hidden="1" x14ac:dyDescent="0.3">
      <c r="B57" t="s">
        <v>214</v>
      </c>
      <c r="C57" t="s">
        <v>95</v>
      </c>
      <c r="D57" t="s">
        <v>165</v>
      </c>
      <c r="E57" t="s">
        <v>116</v>
      </c>
      <c r="F57" t="s">
        <v>75</v>
      </c>
      <c r="G57" s="31" t="str">
        <f>Table13[[#This Row],[PORT]]&amp;Table13[[#This Row],[VESSEL TYPE]]&amp;Table13[[#This Row],[VESSEL RUN]]&amp;Table13[[#This Row],[SERVICE]]</f>
        <v>HAZIRATANKERFOREIGNPort Env &amp; Safety</v>
      </c>
      <c r="H57">
        <f>IF($AA$1&lt;=10000,Hazira!C20,IF($AA$1&lt;=30000,Hazira!C21,Hazira!C22))</f>
        <v>200</v>
      </c>
      <c r="I57">
        <f>IF(I3&lt;=10000,Hazira!D20,IF(I3&lt;30000,Hazira!D21,Hazira!D22))</f>
        <v>0</v>
      </c>
      <c r="J57" t="s">
        <v>16</v>
      </c>
    </row>
    <row r="58" spans="2:10" hidden="1" x14ac:dyDescent="0.3">
      <c r="B58" t="s">
        <v>214</v>
      </c>
      <c r="C58" t="s">
        <v>98</v>
      </c>
      <c r="D58" t="s">
        <v>115</v>
      </c>
      <c r="E58" t="s">
        <v>116</v>
      </c>
      <c r="F58" t="s">
        <v>0</v>
      </c>
      <c r="G58" s="31" t="str">
        <f>Table13[[#This Row],[PORT]]&amp;Table13[[#This Row],[VESSEL TYPE]]&amp;Table13[[#This Row],[VESSEL RUN]]&amp;Table13[[#This Row],[SERVICE]]</f>
        <v>KPCLCONTAINERFOREIGNPort Dues</v>
      </c>
      <c r="H58">
        <f>KPCL!C3</f>
        <v>2.2179999999999998E-2</v>
      </c>
      <c r="I58">
        <f>KPCL!D3</f>
        <v>0</v>
      </c>
      <c r="J58" t="s">
        <v>16</v>
      </c>
    </row>
    <row r="59" spans="2:10" hidden="1" x14ac:dyDescent="0.3">
      <c r="B59" t="s">
        <v>214</v>
      </c>
      <c r="C59" t="s">
        <v>98</v>
      </c>
      <c r="D59" t="s">
        <v>115</v>
      </c>
      <c r="E59" t="s">
        <v>116</v>
      </c>
      <c r="F59" t="s">
        <v>3</v>
      </c>
      <c r="G59" s="31" t="str">
        <f>Table13[[#This Row],[PORT]]&amp;Table13[[#This Row],[VESSEL TYPE]]&amp;Table13[[#This Row],[VESSEL RUN]]&amp;Table13[[#This Row],[SERVICE]]</f>
        <v>KPCLCONTAINERFOREIGNPilotage</v>
      </c>
      <c r="H59">
        <f>IF($AA$1&lt;=3000,KPCL!C6,IF($AA$1&lt;=10000,KPCL!C7,IF($AA$1&lt;=15000,KPCL!C8,IF($AA$1&lt;=30000,KPCL!C9,IF($AA$1&lt;=60000,KPCL!C10,KPCL!C11)))))</f>
        <v>0.74292000000000002</v>
      </c>
      <c r="J59" t="s">
        <v>16</v>
      </c>
    </row>
    <row r="60" spans="2:10" hidden="1" x14ac:dyDescent="0.3">
      <c r="B60" t="s">
        <v>214</v>
      </c>
      <c r="C60" t="s">
        <v>98</v>
      </c>
      <c r="D60" t="s">
        <v>115</v>
      </c>
      <c r="E60" t="s">
        <v>116</v>
      </c>
      <c r="F60" t="s">
        <v>7</v>
      </c>
      <c r="G60" s="31" t="str">
        <f>Table13[[#This Row],[PORT]]&amp;Table13[[#This Row],[VESSEL TYPE]]&amp;Table13[[#This Row],[VESSEL RUN]]&amp;Table13[[#This Row],[SERVICE]]</f>
        <v>KPCLCONTAINERFOREIGNBerth Hire</v>
      </c>
      <c r="H60">
        <f>KPCL!C24</f>
        <v>3.1099999999999999E-3</v>
      </c>
      <c r="I60">
        <f>KPCL!D24</f>
        <v>325</v>
      </c>
      <c r="J60" t="s">
        <v>16</v>
      </c>
    </row>
    <row r="61" spans="2:10" hidden="1" x14ac:dyDescent="0.3">
      <c r="B61" t="s">
        <v>214</v>
      </c>
      <c r="C61" t="s">
        <v>98</v>
      </c>
      <c r="D61" t="s">
        <v>115</v>
      </c>
      <c r="E61" t="s">
        <v>116</v>
      </c>
      <c r="F61" t="s">
        <v>4</v>
      </c>
      <c r="G61" s="31" t="str">
        <f>Table13[[#This Row],[PORT]]&amp;Table13[[#This Row],[VESSEL TYPE]]&amp;Table13[[#This Row],[VESSEL RUN]]&amp;Table13[[#This Row],[SERVICE]]</f>
        <v>KPCLCONTAINERFOREIGNMooring</v>
      </c>
      <c r="H61">
        <f>KPCL!C26</f>
        <v>3.4720000000000001E-2</v>
      </c>
      <c r="I61">
        <f>KPCL!D26</f>
        <v>0</v>
      </c>
      <c r="J61" t="s">
        <v>16</v>
      </c>
    </row>
    <row r="62" spans="2:10" hidden="1" x14ac:dyDescent="0.3">
      <c r="B62" t="s">
        <v>214</v>
      </c>
      <c r="C62" t="s">
        <v>98</v>
      </c>
      <c r="D62" t="s">
        <v>115</v>
      </c>
      <c r="E62" t="s">
        <v>116</v>
      </c>
      <c r="F62" t="s">
        <v>75</v>
      </c>
      <c r="G62" s="31" t="str">
        <f>Table13[[#This Row],[PORT]]&amp;Table13[[#This Row],[VESSEL TYPE]]&amp;Table13[[#This Row],[VESSEL RUN]]&amp;Table13[[#This Row],[SERVICE]]</f>
        <v>KPCLCONTAINERFOREIGNPort Env &amp; Safety</v>
      </c>
      <c r="H62">
        <f>IF($AA$1&lt;=10000,KPCL!C30,IF($AA$1&lt;=30000,KPCL!C31,KPCL!C32))</f>
        <v>200</v>
      </c>
      <c r="I62">
        <f>IF(AD1&lt;=10000,KPCL!D30,IF(AD1&lt;=30000,KPCL!D31,KPCL!D32))</f>
        <v>0</v>
      </c>
      <c r="J62" t="s">
        <v>16</v>
      </c>
    </row>
    <row r="63" spans="2:10" hidden="1" x14ac:dyDescent="0.3">
      <c r="B63" t="s">
        <v>214</v>
      </c>
      <c r="C63" t="s">
        <v>98</v>
      </c>
      <c r="D63" t="s">
        <v>115</v>
      </c>
      <c r="E63" t="s">
        <v>163</v>
      </c>
      <c r="F63" t="s">
        <v>0</v>
      </c>
      <c r="G63" s="31" t="str">
        <f>Table13[[#This Row],[PORT]]&amp;Table13[[#This Row],[VESSEL TYPE]]&amp;Table13[[#This Row],[VESSEL RUN]]&amp;Table13[[#This Row],[SERVICE]]</f>
        <v>KPCLCONTAINERCOASTALPort Dues</v>
      </c>
      <c r="H63">
        <f>KPCL!C3</f>
        <v>2.2179999999999998E-2</v>
      </c>
      <c r="I63">
        <f>KPCL!D3</f>
        <v>0</v>
      </c>
      <c r="J63" t="s">
        <v>16</v>
      </c>
    </row>
    <row r="64" spans="2:10" hidden="1" x14ac:dyDescent="0.3">
      <c r="B64" t="s">
        <v>214</v>
      </c>
      <c r="C64" t="s">
        <v>98</v>
      </c>
      <c r="D64" t="s">
        <v>115</v>
      </c>
      <c r="E64" t="s">
        <v>163</v>
      </c>
      <c r="F64" t="s">
        <v>3</v>
      </c>
      <c r="G64" s="31" t="str">
        <f>Table13[[#This Row],[PORT]]&amp;Table13[[#This Row],[VESSEL TYPE]]&amp;Table13[[#This Row],[VESSEL RUN]]&amp;Table13[[#This Row],[SERVICE]]</f>
        <v>KPCLCONTAINERCOASTALPilotage</v>
      </c>
      <c r="H64">
        <f>IF($AA$1&lt;=3000,KPCL!C6,IF($AA$1&lt;=10000,KPCL!C7,IF($AA$1&lt;=15000,KPCL!C8,IF($AA$1&lt;=30000,KPCL!C9,IF($AA$1&lt;=60000,KPCL!C10,KPCL!C11)))))</f>
        <v>0.74292000000000002</v>
      </c>
      <c r="J64" t="s">
        <v>16</v>
      </c>
    </row>
    <row r="65" spans="2:10" hidden="1" x14ac:dyDescent="0.3">
      <c r="B65" t="s">
        <v>214</v>
      </c>
      <c r="C65" t="s">
        <v>98</v>
      </c>
      <c r="D65" t="s">
        <v>115</v>
      </c>
      <c r="E65" t="s">
        <v>163</v>
      </c>
      <c r="F65" t="s">
        <v>7</v>
      </c>
      <c r="G65" s="31" t="str">
        <f>Table13[[#This Row],[PORT]]&amp;Table13[[#This Row],[VESSEL TYPE]]&amp;Table13[[#This Row],[VESSEL RUN]]&amp;Table13[[#This Row],[SERVICE]]</f>
        <v>KPCLCONTAINERCOASTALBerth Hire</v>
      </c>
      <c r="H65">
        <f>KPCL!C24</f>
        <v>3.1099999999999999E-3</v>
      </c>
      <c r="I65">
        <f>KPCL!D24</f>
        <v>325</v>
      </c>
      <c r="J65" t="s">
        <v>16</v>
      </c>
    </row>
    <row r="66" spans="2:10" hidden="1" x14ac:dyDescent="0.3">
      <c r="B66" t="s">
        <v>214</v>
      </c>
      <c r="C66" t="s">
        <v>98</v>
      </c>
      <c r="D66" t="s">
        <v>115</v>
      </c>
      <c r="E66" t="s">
        <v>163</v>
      </c>
      <c r="F66" t="s">
        <v>4</v>
      </c>
      <c r="G66" s="31" t="str">
        <f>Table13[[#This Row],[PORT]]&amp;Table13[[#This Row],[VESSEL TYPE]]&amp;Table13[[#This Row],[VESSEL RUN]]&amp;Table13[[#This Row],[SERVICE]]</f>
        <v>KPCLCONTAINERCOASTALMooring</v>
      </c>
      <c r="H66">
        <f>KPCL!C26</f>
        <v>3.4720000000000001E-2</v>
      </c>
      <c r="I66">
        <f>KPCL!D26</f>
        <v>0</v>
      </c>
      <c r="J66" t="s">
        <v>16</v>
      </c>
    </row>
    <row r="67" spans="2:10" hidden="1" x14ac:dyDescent="0.3">
      <c r="B67" t="s">
        <v>214</v>
      </c>
      <c r="C67" t="s">
        <v>98</v>
      </c>
      <c r="D67" t="s">
        <v>115</v>
      </c>
      <c r="E67" t="s">
        <v>163</v>
      </c>
      <c r="F67" t="s">
        <v>75</v>
      </c>
      <c r="G67" s="31" t="str">
        <f>Table13[[#This Row],[PORT]]&amp;Table13[[#This Row],[VESSEL TYPE]]&amp;Table13[[#This Row],[VESSEL RUN]]&amp;Table13[[#This Row],[SERVICE]]</f>
        <v>KPCLCONTAINERCOASTALPort Env &amp; Safety</v>
      </c>
      <c r="H67">
        <f>IF($AA$1&lt;=10000,KPCL!C30,IF($AA$1&lt;=30000,KPCL!C31,KPCL!C32))</f>
        <v>200</v>
      </c>
      <c r="I67">
        <f>IF(AD1&lt;=10000,KPCL!D30,IF(AD1&lt;=30000,KPCL!D31,KPCL!D32))</f>
        <v>0</v>
      </c>
      <c r="J67" t="s">
        <v>16</v>
      </c>
    </row>
    <row r="68" spans="2:10" hidden="1" x14ac:dyDescent="0.3">
      <c r="B68" t="s">
        <v>214</v>
      </c>
      <c r="C68" t="s">
        <v>98</v>
      </c>
      <c r="D68" t="s">
        <v>260</v>
      </c>
      <c r="E68" t="s">
        <v>116</v>
      </c>
      <c r="F68" t="s">
        <v>0</v>
      </c>
      <c r="G68" s="31" t="str">
        <f>Table13[[#This Row],[PORT]]&amp;Table13[[#This Row],[VESSEL TYPE]]&amp;Table13[[#This Row],[VESSEL RUN]]&amp;Table13[[#This Row],[SERVICE]]</f>
        <v>KPCLGENERALFOREIGNPort Dues</v>
      </c>
      <c r="H68">
        <f>KPCL!C4</f>
        <v>5.4179999999999999E-2</v>
      </c>
      <c r="I68">
        <f>KPCL!D4</f>
        <v>0</v>
      </c>
      <c r="J68" t="s">
        <v>16</v>
      </c>
    </row>
    <row r="69" spans="2:10" hidden="1" x14ac:dyDescent="0.3">
      <c r="B69" t="s">
        <v>214</v>
      </c>
      <c r="C69" t="s">
        <v>98</v>
      </c>
      <c r="D69" t="s">
        <v>260</v>
      </c>
      <c r="E69" t="s">
        <v>116</v>
      </c>
      <c r="F69" t="s">
        <v>3</v>
      </c>
      <c r="G69" s="31" t="str">
        <f>Table13[[#This Row],[PORT]]&amp;Table13[[#This Row],[VESSEL TYPE]]&amp;Table13[[#This Row],[VESSEL RUN]]&amp;Table13[[#This Row],[SERVICE]]</f>
        <v>KPCLGENERALFOREIGNPilotage</v>
      </c>
      <c r="H69">
        <f>IF($AA$1&lt;=8000,KPCL!C12,IF($AA$1&lt;=20000,KPCL!C13,IF($AA$1&lt;=40000,KPCL!C14,IF($AA$1&lt;=70000,KPCL!C15,KPCL!C16))))</f>
        <v>1.2158199999999999</v>
      </c>
      <c r="I69">
        <v>0</v>
      </c>
      <c r="J69" t="s">
        <v>16</v>
      </c>
    </row>
    <row r="70" spans="2:10" hidden="1" x14ac:dyDescent="0.3">
      <c r="B70" t="s">
        <v>214</v>
      </c>
      <c r="C70" t="s">
        <v>98</v>
      </c>
      <c r="D70" t="s">
        <v>260</v>
      </c>
      <c r="E70" t="s">
        <v>116</v>
      </c>
      <c r="F70" t="s">
        <v>7</v>
      </c>
      <c r="G70" s="31" t="str">
        <f>Table13[[#This Row],[PORT]]&amp;Table13[[#This Row],[VESSEL TYPE]]&amp;Table13[[#This Row],[VESSEL RUN]]&amp;Table13[[#This Row],[SERVICE]]</f>
        <v>KPCLGENERALFOREIGNBerth Hire</v>
      </c>
      <c r="H70">
        <f>KPCL!C25</f>
        <v>7.0000000000000001E-3</v>
      </c>
      <c r="I70">
        <f>KPCL!D25</f>
        <v>325</v>
      </c>
      <c r="J70" t="s">
        <v>16</v>
      </c>
    </row>
    <row r="71" spans="2:10" hidden="1" x14ac:dyDescent="0.3">
      <c r="B71" t="s">
        <v>214</v>
      </c>
      <c r="C71" t="s">
        <v>98</v>
      </c>
      <c r="D71" t="s">
        <v>260</v>
      </c>
      <c r="E71" t="s">
        <v>116</v>
      </c>
      <c r="F71" t="s">
        <v>4</v>
      </c>
      <c r="G71" s="31" t="str">
        <f>Table13[[#This Row],[PORT]]&amp;Table13[[#This Row],[VESSEL TYPE]]&amp;Table13[[#This Row],[VESSEL RUN]]&amp;Table13[[#This Row],[SERVICE]]</f>
        <v>KPCLGENERALFOREIGNMooring</v>
      </c>
      <c r="H71">
        <f>KPCL!C26</f>
        <v>3.4720000000000001E-2</v>
      </c>
      <c r="I71">
        <f>KPCL!D26</f>
        <v>0</v>
      </c>
      <c r="J71" t="s">
        <v>16</v>
      </c>
    </row>
    <row r="72" spans="2:10" hidden="1" x14ac:dyDescent="0.3">
      <c r="B72" t="s">
        <v>214</v>
      </c>
      <c r="C72" t="s">
        <v>98</v>
      </c>
      <c r="D72" t="s">
        <v>260</v>
      </c>
      <c r="E72" t="s">
        <v>116</v>
      </c>
      <c r="F72" t="s">
        <v>75</v>
      </c>
      <c r="G72" s="31" t="str">
        <f>Table13[[#This Row],[PORT]]&amp;Table13[[#This Row],[VESSEL TYPE]]&amp;Table13[[#This Row],[VESSEL RUN]]&amp;Table13[[#This Row],[SERVICE]]</f>
        <v>KPCLGENERALFOREIGNPort Env &amp; Safety</v>
      </c>
      <c r="H72">
        <f>IF($AA$1&lt;=10000,KPCL!C30,IF($AA$1&lt;=30000,KPCL!C31,KPCL!C32))</f>
        <v>200</v>
      </c>
      <c r="I72">
        <f>IF(AD1&lt;=10000,KPCL!D30,IF(AD1&lt;=30000,KPCL!D31,KPCL!D32))</f>
        <v>0</v>
      </c>
      <c r="J72" t="s">
        <v>16</v>
      </c>
    </row>
    <row r="73" spans="2:10" hidden="1" x14ac:dyDescent="0.3">
      <c r="B73" t="s">
        <v>214</v>
      </c>
      <c r="C73" t="s">
        <v>98</v>
      </c>
      <c r="D73" t="s">
        <v>260</v>
      </c>
      <c r="E73" t="s">
        <v>163</v>
      </c>
      <c r="F73" t="s">
        <v>0</v>
      </c>
      <c r="G73" s="31" t="str">
        <f>Table13[[#This Row],[PORT]]&amp;Table13[[#This Row],[VESSEL TYPE]]&amp;Table13[[#This Row],[VESSEL RUN]]&amp;Table13[[#This Row],[SERVICE]]</f>
        <v>KPCLGENERALCOASTALPort Dues</v>
      </c>
      <c r="H73">
        <f>KPCL!C5</f>
        <v>4.3344000000000001E-2</v>
      </c>
      <c r="I73">
        <f>KPCL!D5</f>
        <v>0</v>
      </c>
      <c r="J73" t="s">
        <v>16</v>
      </c>
    </row>
    <row r="74" spans="2:10" hidden="1" x14ac:dyDescent="0.3">
      <c r="B74" t="s">
        <v>214</v>
      </c>
      <c r="C74" t="s">
        <v>98</v>
      </c>
      <c r="D74" t="s">
        <v>260</v>
      </c>
      <c r="E74" t="s">
        <v>163</v>
      </c>
      <c r="F74" t="s">
        <v>3</v>
      </c>
      <c r="G74" s="31" t="str">
        <f>Table13[[#This Row],[PORT]]&amp;Table13[[#This Row],[VESSEL TYPE]]&amp;Table13[[#This Row],[VESSEL RUN]]&amp;Table13[[#This Row],[SERVICE]]</f>
        <v>KPCLGENERALCOASTALPilotage</v>
      </c>
      <c r="H74">
        <f>IF($AA$1&lt;=8000,KPCL!C19,IF($AA$1&lt;=20000,KPCL!C20,IF($AA$1&lt;=40000,KPCL!C21,IF($AA$1&lt;=70000,KPCL!C22,KPCL!C23))))</f>
        <v>1.1366560000000001</v>
      </c>
      <c r="I74">
        <v>0</v>
      </c>
      <c r="J74" t="s">
        <v>16</v>
      </c>
    </row>
    <row r="75" spans="2:10" hidden="1" x14ac:dyDescent="0.3">
      <c r="B75" t="s">
        <v>214</v>
      </c>
      <c r="C75" t="s">
        <v>98</v>
      </c>
      <c r="D75" t="s">
        <v>260</v>
      </c>
      <c r="E75" t="s">
        <v>163</v>
      </c>
      <c r="F75" t="s">
        <v>7</v>
      </c>
      <c r="G75" s="31" t="str">
        <f>Table13[[#This Row],[PORT]]&amp;Table13[[#This Row],[VESSEL TYPE]]&amp;Table13[[#This Row],[VESSEL RUN]]&amp;Table13[[#This Row],[SERVICE]]</f>
        <v>KPCLGENERALCOASTALBerth Hire</v>
      </c>
      <c r="H75">
        <f>KPCL!C25</f>
        <v>7.0000000000000001E-3</v>
      </c>
      <c r="I75">
        <f>KPCL!D25</f>
        <v>325</v>
      </c>
      <c r="J75" t="s">
        <v>16</v>
      </c>
    </row>
    <row r="76" spans="2:10" hidden="1" x14ac:dyDescent="0.3">
      <c r="B76" t="s">
        <v>214</v>
      </c>
      <c r="C76" t="s">
        <v>98</v>
      </c>
      <c r="D76" t="s">
        <v>260</v>
      </c>
      <c r="E76" t="s">
        <v>163</v>
      </c>
      <c r="F76" t="s">
        <v>4</v>
      </c>
      <c r="G76" s="31" t="str">
        <f>Table13[[#This Row],[PORT]]&amp;Table13[[#This Row],[VESSEL TYPE]]&amp;Table13[[#This Row],[VESSEL RUN]]&amp;Table13[[#This Row],[SERVICE]]</f>
        <v>KPCLGENERALCOASTALMooring</v>
      </c>
      <c r="H76">
        <f>KPCL!C26</f>
        <v>3.4720000000000001E-2</v>
      </c>
      <c r="I76">
        <f>KPCL!D26</f>
        <v>0</v>
      </c>
      <c r="J76" t="s">
        <v>16</v>
      </c>
    </row>
    <row r="77" spans="2:10" hidden="1" x14ac:dyDescent="0.3">
      <c r="B77" t="s">
        <v>214</v>
      </c>
      <c r="C77" t="s">
        <v>98</v>
      </c>
      <c r="D77" t="s">
        <v>260</v>
      </c>
      <c r="E77" t="s">
        <v>163</v>
      </c>
      <c r="F77" t="s">
        <v>75</v>
      </c>
      <c r="G77" s="31" t="str">
        <f>Table13[[#This Row],[PORT]]&amp;Table13[[#This Row],[VESSEL TYPE]]&amp;Table13[[#This Row],[VESSEL RUN]]&amp;Table13[[#This Row],[SERVICE]]</f>
        <v>KPCLGENERALCOASTALPort Env &amp; Safety</v>
      </c>
      <c r="H77">
        <f>IF($AA$1&lt;=10000,KPCL!C30,IF($AA$1&lt;=30000,KPCL!C31,KPCL!C32))</f>
        <v>200</v>
      </c>
      <c r="I77">
        <f>IF(AD1&lt;=10000,KPCL!D30,IF(AD1&lt;=30000,KPCL!D31,KPCL!D32))</f>
        <v>0</v>
      </c>
      <c r="J77" t="s">
        <v>16</v>
      </c>
    </row>
    <row r="78" spans="2:10" hidden="1" x14ac:dyDescent="0.3">
      <c r="B78" t="s">
        <v>214</v>
      </c>
      <c r="C78" t="s">
        <v>106</v>
      </c>
      <c r="D78" t="s">
        <v>260</v>
      </c>
      <c r="E78" t="s">
        <v>116</v>
      </c>
      <c r="F78" t="s">
        <v>0</v>
      </c>
      <c r="G78" s="31" t="str">
        <f>Table13[[#This Row],[PORT]]&amp;Table13[[#This Row],[VESSEL TYPE]]&amp;Table13[[#This Row],[VESSEL RUN]]&amp;Table13[[#This Row],[SERVICE]]</f>
        <v>DIGHIGENERALFOREIGNPort Dues</v>
      </c>
      <c r="H78">
        <f>Dighi!C3</f>
        <v>6.3500000000000001E-2</v>
      </c>
      <c r="I78">
        <f>Dighi!D3</f>
        <v>375</v>
      </c>
      <c r="J78" t="s">
        <v>16</v>
      </c>
    </row>
    <row r="79" spans="2:10" hidden="1" x14ac:dyDescent="0.3">
      <c r="B79" t="s">
        <v>214</v>
      </c>
      <c r="C79" t="s">
        <v>106</v>
      </c>
      <c r="D79" t="s">
        <v>260</v>
      </c>
      <c r="E79" t="s">
        <v>116</v>
      </c>
      <c r="F79" t="s">
        <v>3</v>
      </c>
      <c r="G79" s="31" t="str">
        <f>Table13[[#This Row],[PORT]]&amp;Table13[[#This Row],[VESSEL TYPE]]&amp;Table13[[#This Row],[VESSEL RUN]]&amp;Table13[[#This Row],[SERVICE]]</f>
        <v>DIGHIGENERALFOREIGNPilotage</v>
      </c>
      <c r="H79">
        <f>Dighi!C7</f>
        <v>1.2064999999999999</v>
      </c>
      <c r="I79">
        <f>IF(AA1&lt;3000,Dighi!D7,IF(AA1&lt;15000,Dighi!D8,Dighi!D9))</f>
        <v>16295</v>
      </c>
      <c r="J79" t="s">
        <v>16</v>
      </c>
    </row>
    <row r="80" spans="2:10" hidden="1" x14ac:dyDescent="0.3">
      <c r="B80" t="s">
        <v>214</v>
      </c>
      <c r="C80" t="s">
        <v>106</v>
      </c>
      <c r="D80" t="s">
        <v>260</v>
      </c>
      <c r="E80" t="s">
        <v>116</v>
      </c>
      <c r="F80" t="s">
        <v>7</v>
      </c>
      <c r="G80" s="31" t="str">
        <f>Table13[[#This Row],[PORT]]&amp;Table13[[#This Row],[VESSEL TYPE]]&amp;Table13[[#This Row],[VESSEL RUN]]&amp;Table13[[#This Row],[SERVICE]]</f>
        <v>DIGHIGENERALFOREIGNBerth Hire</v>
      </c>
      <c r="H80">
        <f>Dighi!C21</f>
        <v>8.5000000000000006E-3</v>
      </c>
      <c r="I80">
        <f>Dighi!D21</f>
        <v>495</v>
      </c>
      <c r="J80" t="s">
        <v>16</v>
      </c>
    </row>
    <row r="81" spans="2:10" hidden="1" x14ac:dyDescent="0.3">
      <c r="B81" t="s">
        <v>214</v>
      </c>
      <c r="C81" t="s">
        <v>106</v>
      </c>
      <c r="D81" t="s">
        <v>260</v>
      </c>
      <c r="E81" t="s">
        <v>116</v>
      </c>
      <c r="F81" t="s">
        <v>4</v>
      </c>
      <c r="G81" s="31" t="str">
        <f>Table13[[#This Row],[PORT]]&amp;Table13[[#This Row],[VESSEL TYPE]]&amp;Table13[[#This Row],[VESSEL RUN]]&amp;Table13[[#This Row],[SERVICE]]</f>
        <v>DIGHIGENERALFOREIGNMooring</v>
      </c>
      <c r="H81">
        <f>Dighi!C22</f>
        <v>0.1736</v>
      </c>
      <c r="I81">
        <f>Dighi!D22</f>
        <v>200</v>
      </c>
      <c r="J81" t="s">
        <v>16</v>
      </c>
    </row>
    <row r="82" spans="2:10" hidden="1" x14ac:dyDescent="0.3">
      <c r="B82" t="s">
        <v>214</v>
      </c>
      <c r="C82" t="s">
        <v>106</v>
      </c>
      <c r="D82" t="s">
        <v>260</v>
      </c>
      <c r="E82" t="s">
        <v>116</v>
      </c>
      <c r="F82" t="s">
        <v>75</v>
      </c>
      <c r="G82" s="31" t="str">
        <f>Table13[[#This Row],[PORT]]&amp;Table13[[#This Row],[VESSEL TYPE]]&amp;Table13[[#This Row],[VESSEL RUN]]&amp;Table13[[#This Row],[SERVICE]]</f>
        <v>DIGHIGENERALFOREIGNPort Env &amp; Safety</v>
      </c>
      <c r="H82">
        <f>IF($AA$1&lt;=10000,Dighi!C23,IF($AA$1&lt;=30000,Dighi!C24,Dighi!C25))</f>
        <v>200</v>
      </c>
      <c r="I82">
        <f>Dighi!D23</f>
        <v>0</v>
      </c>
      <c r="J82" t="s">
        <v>16</v>
      </c>
    </row>
    <row r="83" spans="2:10" x14ac:dyDescent="0.3">
      <c r="B83" t="s">
        <v>214</v>
      </c>
      <c r="C83" t="s">
        <v>99</v>
      </c>
      <c r="D83" t="s">
        <v>260</v>
      </c>
      <c r="E83" t="s">
        <v>116</v>
      </c>
      <c r="F83" t="s">
        <v>0</v>
      </c>
      <c r="G83" s="31" t="str">
        <f>Table13[[#This Row],[PORT]]&amp;Table13[[#This Row],[VESSEL TYPE]]&amp;Table13[[#This Row],[VESSEL RUN]]&amp;Table13[[#This Row],[SERVICE]]</f>
        <v>GPLGENERALFOREIGNPort Dues</v>
      </c>
      <c r="H83">
        <f>IF($AA$1&lt;=45000,GPL!C3,GPL!C4)</f>
        <v>0.13700000000000001</v>
      </c>
      <c r="I83">
        <f>IF(I3&lt;=45000,GPL!D3,GPL!D4)</f>
        <v>700</v>
      </c>
      <c r="J83" t="s">
        <v>16</v>
      </c>
    </row>
    <row r="84" spans="2:10" x14ac:dyDescent="0.3">
      <c r="B84" t="s">
        <v>214</v>
      </c>
      <c r="C84" t="s">
        <v>99</v>
      </c>
      <c r="D84" t="s">
        <v>260</v>
      </c>
      <c r="E84" t="s">
        <v>116</v>
      </c>
      <c r="F84" t="s">
        <v>3</v>
      </c>
      <c r="G84" s="31" t="str">
        <f>Table13[[#This Row],[PORT]]&amp;Table13[[#This Row],[VESSEL TYPE]]&amp;Table13[[#This Row],[VESSEL RUN]]&amp;Table13[[#This Row],[SERVICE]]</f>
        <v>GPLGENERALFOREIGNPilotage</v>
      </c>
      <c r="H84">
        <f>IF($AA$1&lt;=45000,GPL!C5,GPL!C6)</f>
        <v>1.2330000000000001</v>
      </c>
      <c r="I84">
        <f>IF(AA1&lt;=5000,GPL!D5,IF(AA1&lt;=10000,GPL!D6,IF(AA1&lt;=15000,GPL!D7,GPL!D8)))</f>
        <v>15750</v>
      </c>
      <c r="J84" t="s">
        <v>16</v>
      </c>
    </row>
    <row r="85" spans="2:10" x14ac:dyDescent="0.3">
      <c r="B85" t="s">
        <v>214</v>
      </c>
      <c r="C85" t="s">
        <v>99</v>
      </c>
      <c r="D85" t="s">
        <v>260</v>
      </c>
      <c r="E85" t="s">
        <v>116</v>
      </c>
      <c r="F85" t="s">
        <v>7</v>
      </c>
      <c r="G85" s="31" t="str">
        <f>Table13[[#This Row],[PORT]]&amp;Table13[[#This Row],[VESSEL TYPE]]&amp;Table13[[#This Row],[VESSEL RUN]]&amp;Table13[[#This Row],[SERVICE]]</f>
        <v>GPLGENERALFOREIGNBerth Hire</v>
      </c>
      <c r="H85">
        <f>IF($AA$1&lt;=45000,GPL!C9,GPL!C10)</f>
        <v>1.2E-2</v>
      </c>
      <c r="I85">
        <f>IF($AA$1&lt;=45000,GPL!D9,GPL!D10)</f>
        <v>900</v>
      </c>
      <c r="J85" t="s">
        <v>16</v>
      </c>
    </row>
    <row r="86" spans="2:10" x14ac:dyDescent="0.3">
      <c r="B86" t="s">
        <v>214</v>
      </c>
      <c r="C86" t="s">
        <v>99</v>
      </c>
      <c r="D86" t="s">
        <v>260</v>
      </c>
      <c r="E86" t="s">
        <v>116</v>
      </c>
      <c r="F86" t="s">
        <v>4</v>
      </c>
      <c r="G86" s="31" t="str">
        <f>Table13[[#This Row],[PORT]]&amp;Table13[[#This Row],[VESSEL TYPE]]&amp;Table13[[#This Row],[VESSEL RUN]]&amp;Table13[[#This Row],[SERVICE]]</f>
        <v>GPLGENERALFOREIGNMooring</v>
      </c>
      <c r="H86">
        <f>GPL!C11</f>
        <v>0.03</v>
      </c>
      <c r="I86">
        <f>GPL!D11</f>
        <v>200</v>
      </c>
      <c r="J86" t="s">
        <v>16</v>
      </c>
    </row>
    <row r="87" spans="2:10" x14ac:dyDescent="0.3">
      <c r="B87" t="s">
        <v>214</v>
      </c>
      <c r="C87" t="s">
        <v>99</v>
      </c>
      <c r="D87" t="s">
        <v>260</v>
      </c>
      <c r="E87" t="s">
        <v>116</v>
      </c>
      <c r="F87" t="s">
        <v>75</v>
      </c>
      <c r="G87" s="31" t="str">
        <f>Table13[[#This Row],[PORT]]&amp;Table13[[#This Row],[VESSEL TYPE]]&amp;Table13[[#This Row],[VESSEL RUN]]&amp;Table13[[#This Row],[SERVICE]]</f>
        <v>GPLGENERALFOREIGNPort Env &amp; Safety</v>
      </c>
      <c r="H87">
        <f>IF($AA$1&lt;=10000,GPL!C12,IF($AA$1&lt;=30000,GPL!C13,GPL!C14))</f>
        <v>200</v>
      </c>
      <c r="I87">
        <f>IF($AA$1&lt;=10000,GPL!D12,IF($AA$1&lt;30000,GPL!D13,GPL!D14))</f>
        <v>0</v>
      </c>
      <c r="J87" t="s">
        <v>16</v>
      </c>
    </row>
    <row r="88" spans="2:10" hidden="1" x14ac:dyDescent="0.3">
      <c r="B88" t="s">
        <v>215</v>
      </c>
      <c r="C88" t="s">
        <v>107</v>
      </c>
      <c r="D88" t="s">
        <v>114</v>
      </c>
      <c r="E88" t="s">
        <v>116</v>
      </c>
      <c r="F88" t="s">
        <v>7</v>
      </c>
      <c r="G88" s="31" t="str">
        <f>Table13[[#This Row],[PORT]]&amp;Table13[[#This Row],[VESSEL TYPE]]&amp;Table13[[#This Row],[VESSEL RUN]]&amp;Table13[[#This Row],[SERVICE]]</f>
        <v>TUNADRYFOREIGNBerth Hire</v>
      </c>
      <c r="H88">
        <f>TERMINALS!D3</f>
        <v>0.65</v>
      </c>
      <c r="I88">
        <f>TERMINALS!E3</f>
        <v>0</v>
      </c>
      <c r="J88" t="str">
        <f>TERMINALS!F3</f>
        <v>INR</v>
      </c>
    </row>
    <row r="89" spans="2:10" hidden="1" x14ac:dyDescent="0.3">
      <c r="B89" t="s">
        <v>215</v>
      </c>
      <c r="C89" t="s">
        <v>108</v>
      </c>
      <c r="D89" t="s">
        <v>114</v>
      </c>
      <c r="E89" t="s">
        <v>116</v>
      </c>
      <c r="F89" t="s">
        <v>7</v>
      </c>
      <c r="G89" s="31" t="str">
        <f>Table13[[#This Row],[PORT]]&amp;Table13[[#This Row],[VESSEL TYPE]]&amp;Table13[[#This Row],[VESSEL RUN]]&amp;Table13[[#This Row],[SERVICE]]</f>
        <v>GOADRYFOREIGNBerth Hire</v>
      </c>
      <c r="H89">
        <f>TERMINALS!D4</f>
        <v>0.7</v>
      </c>
      <c r="I89">
        <f>TERMINALS!E4</f>
        <v>0</v>
      </c>
      <c r="J89" t="str">
        <f>TERMINALS!F4</f>
        <v>INR</v>
      </c>
    </row>
    <row r="90" spans="2:10" hidden="1" x14ac:dyDescent="0.3">
      <c r="B90" t="s">
        <v>215</v>
      </c>
      <c r="C90" t="s">
        <v>109</v>
      </c>
      <c r="D90" t="s">
        <v>115</v>
      </c>
      <c r="E90" t="s">
        <v>116</v>
      </c>
      <c r="F90" t="s">
        <v>7</v>
      </c>
      <c r="G90" s="31" t="str">
        <f>Table13[[#This Row],[PORT]]&amp;Table13[[#This Row],[VESSEL TYPE]]&amp;Table13[[#This Row],[VESSEL RUN]]&amp;Table13[[#This Row],[SERVICE]]</f>
        <v>ENNORECONTAINERFOREIGNBerth Hire</v>
      </c>
      <c r="H90">
        <f>TERMINALS!D5</f>
        <v>1.7600000000000001E-2</v>
      </c>
      <c r="I90">
        <f>TERMINALS!E5</f>
        <v>0</v>
      </c>
      <c r="J90" t="str">
        <f>TERMINALS!F5</f>
        <v>USD</v>
      </c>
    </row>
    <row r="91" spans="2:10" hidden="1" x14ac:dyDescent="0.3">
      <c r="B91" t="s">
        <v>214</v>
      </c>
      <c r="C91" t="s">
        <v>98</v>
      </c>
      <c r="D91" t="s">
        <v>323</v>
      </c>
      <c r="E91" t="s">
        <v>116</v>
      </c>
      <c r="F91" t="s">
        <v>0</v>
      </c>
      <c r="G91" s="31" t="str">
        <f>Table13[[#This Row],[PORT]]&amp;Table13[[#This Row],[VESSEL TYPE]]&amp;Table13[[#This Row],[VESSEL RUN]]&amp;Table13[[#This Row],[SERVICE]]</f>
        <v>KPCLPROJECTFOREIGNPort Dues</v>
      </c>
      <c r="H91">
        <f>KPCL!C3</f>
        <v>2.2179999999999998E-2</v>
      </c>
      <c r="I91">
        <f>KPCL!D3</f>
        <v>0</v>
      </c>
      <c r="J91" t="s">
        <v>16</v>
      </c>
    </row>
    <row r="92" spans="2:10" hidden="1" x14ac:dyDescent="0.3">
      <c r="B92" t="s">
        <v>214</v>
      </c>
      <c r="C92" t="s">
        <v>98</v>
      </c>
      <c r="D92" t="s">
        <v>323</v>
      </c>
      <c r="E92" t="s">
        <v>116</v>
      </c>
      <c r="F92" t="s">
        <v>3</v>
      </c>
      <c r="G92" s="31" t="str">
        <f>Table13[[#This Row],[PORT]]&amp;Table13[[#This Row],[VESSEL TYPE]]&amp;Table13[[#This Row],[VESSEL RUN]]&amp;Table13[[#This Row],[SERVICE]]</f>
        <v>KPCLPROJECTFOREIGNPilotage</v>
      </c>
      <c r="H92">
        <f>IF($AA$1&lt;=3000,KPCL!C6,IF($AA$1&lt;=10000,KPCL!C7,IF($AA$1&lt;=15000,KPCL!C8,IF($AA$1&lt;=30000,KPCL!C9,IF($AA$1&lt;=60000,KPCL!C10,KPCL!C11)))))</f>
        <v>0.74292000000000002</v>
      </c>
      <c r="J92" t="s">
        <v>16</v>
      </c>
    </row>
    <row r="93" spans="2:10" hidden="1" x14ac:dyDescent="0.3">
      <c r="B93" t="s">
        <v>214</v>
      </c>
      <c r="C93" t="s">
        <v>98</v>
      </c>
      <c r="D93" t="s">
        <v>323</v>
      </c>
      <c r="E93" t="s">
        <v>116</v>
      </c>
      <c r="F93" t="s">
        <v>7</v>
      </c>
      <c r="G93" s="31" t="str">
        <f>Table13[[#This Row],[PORT]]&amp;Table13[[#This Row],[VESSEL TYPE]]&amp;Table13[[#This Row],[VESSEL RUN]]&amp;Table13[[#This Row],[SERVICE]]</f>
        <v>KPCLPROJECTFOREIGNBerth Hire</v>
      </c>
      <c r="H93">
        <f>KPCL!C24</f>
        <v>3.1099999999999999E-3</v>
      </c>
      <c r="I93">
        <f>KPCL!D24</f>
        <v>325</v>
      </c>
      <c r="J93" t="s">
        <v>16</v>
      </c>
    </row>
    <row r="94" spans="2:10" hidden="1" x14ac:dyDescent="0.3">
      <c r="B94" t="s">
        <v>214</v>
      </c>
      <c r="C94" t="s">
        <v>98</v>
      </c>
      <c r="D94" t="s">
        <v>323</v>
      </c>
      <c r="E94" t="s">
        <v>116</v>
      </c>
      <c r="F94" t="s">
        <v>4</v>
      </c>
      <c r="G94" s="31" t="str">
        <f>Table13[[#This Row],[PORT]]&amp;Table13[[#This Row],[VESSEL TYPE]]&amp;Table13[[#This Row],[VESSEL RUN]]&amp;Table13[[#This Row],[SERVICE]]</f>
        <v>KPCLPROJECTFOREIGNMooring</v>
      </c>
      <c r="H94">
        <f>KPCL!C26</f>
        <v>3.4720000000000001E-2</v>
      </c>
      <c r="I94">
        <f>KPCL!D26</f>
        <v>0</v>
      </c>
      <c r="J94" t="s">
        <v>16</v>
      </c>
    </row>
    <row r="95" spans="2:10" hidden="1" x14ac:dyDescent="0.3">
      <c r="B95" t="s">
        <v>214</v>
      </c>
      <c r="C95" t="s">
        <v>98</v>
      </c>
      <c r="D95" t="s">
        <v>323</v>
      </c>
      <c r="E95" t="s">
        <v>116</v>
      </c>
      <c r="F95" t="s">
        <v>75</v>
      </c>
      <c r="G95" s="31" t="str">
        <f>Table13[[#This Row],[PORT]]&amp;Table13[[#This Row],[VESSEL TYPE]]&amp;Table13[[#This Row],[VESSEL RUN]]&amp;Table13[[#This Row],[SERVICE]]</f>
        <v>KPCLPROJECTFOREIGNPort Env &amp; Safety</v>
      </c>
      <c r="H95">
        <f>IF($AA$1&lt;=10000,KPCL!C30,IF($AA$1&lt;=30000,KPCL!C31,KPCL!C32))</f>
        <v>200</v>
      </c>
      <c r="I95">
        <f>IF(AD1&lt;=10000,KPCL!D30,IF(AD1&lt;=30000,KPCL!D31,KPCL!D32))</f>
        <v>0</v>
      </c>
      <c r="J95" t="s">
        <v>16</v>
      </c>
    </row>
    <row r="96" spans="2:10" hidden="1" x14ac:dyDescent="0.3">
      <c r="B96" t="s">
        <v>214</v>
      </c>
      <c r="C96" t="s">
        <v>98</v>
      </c>
      <c r="D96" t="s">
        <v>323</v>
      </c>
      <c r="E96" t="s">
        <v>163</v>
      </c>
      <c r="F96" t="s">
        <v>0</v>
      </c>
      <c r="G96" s="31" t="str">
        <f>Table13[[#This Row],[PORT]]&amp;Table13[[#This Row],[VESSEL TYPE]]&amp;Table13[[#This Row],[VESSEL RUN]]&amp;Table13[[#This Row],[SERVICE]]</f>
        <v>KPCLPROJECTCOASTALPort Dues</v>
      </c>
      <c r="H96">
        <f>KPCL!C3</f>
        <v>2.2179999999999998E-2</v>
      </c>
      <c r="I96">
        <f>KPCL!D3</f>
        <v>0</v>
      </c>
      <c r="J96" t="s">
        <v>16</v>
      </c>
    </row>
    <row r="97" spans="2:10" hidden="1" x14ac:dyDescent="0.3">
      <c r="B97" t="s">
        <v>214</v>
      </c>
      <c r="C97" t="s">
        <v>98</v>
      </c>
      <c r="D97" t="s">
        <v>323</v>
      </c>
      <c r="E97" t="s">
        <v>163</v>
      </c>
      <c r="F97" t="s">
        <v>3</v>
      </c>
      <c r="G97" s="31" t="str">
        <f>Table13[[#This Row],[PORT]]&amp;Table13[[#This Row],[VESSEL TYPE]]&amp;Table13[[#This Row],[VESSEL RUN]]&amp;Table13[[#This Row],[SERVICE]]</f>
        <v>KPCLPROJECTCOASTALPilotage</v>
      </c>
      <c r="H97">
        <f>IF($AA$1&lt;=3000,KPCL!C6,IF($AA$1&lt;=10000,KPCL!C7,IF($AA$1&lt;=15000,KPCL!C8,IF($AA$1&lt;=30000,KPCL!C9,IF($AA$1&lt;=60000,KPCL!C10,KPCL!C11)))))</f>
        <v>0.74292000000000002</v>
      </c>
      <c r="J97" t="s">
        <v>16</v>
      </c>
    </row>
    <row r="98" spans="2:10" hidden="1" x14ac:dyDescent="0.3">
      <c r="B98" t="s">
        <v>214</v>
      </c>
      <c r="C98" t="s">
        <v>98</v>
      </c>
      <c r="D98" t="s">
        <v>323</v>
      </c>
      <c r="E98" t="s">
        <v>163</v>
      </c>
      <c r="F98" t="s">
        <v>7</v>
      </c>
      <c r="G98" s="31" t="str">
        <f>Table13[[#This Row],[PORT]]&amp;Table13[[#This Row],[VESSEL TYPE]]&amp;Table13[[#This Row],[VESSEL RUN]]&amp;Table13[[#This Row],[SERVICE]]</f>
        <v>KPCLPROJECTCOASTALBerth Hire</v>
      </c>
      <c r="H98">
        <f>KPCL!C24</f>
        <v>3.1099999999999999E-3</v>
      </c>
      <c r="I98">
        <f>KPCL!D24</f>
        <v>325</v>
      </c>
      <c r="J98" t="s">
        <v>16</v>
      </c>
    </row>
    <row r="99" spans="2:10" hidden="1" x14ac:dyDescent="0.3">
      <c r="B99" t="s">
        <v>214</v>
      </c>
      <c r="C99" t="s">
        <v>98</v>
      </c>
      <c r="D99" t="s">
        <v>323</v>
      </c>
      <c r="E99" t="s">
        <v>163</v>
      </c>
      <c r="F99" t="s">
        <v>4</v>
      </c>
      <c r="G99" s="31" t="str">
        <f>Table13[[#This Row],[PORT]]&amp;Table13[[#This Row],[VESSEL TYPE]]&amp;Table13[[#This Row],[VESSEL RUN]]&amp;Table13[[#This Row],[SERVICE]]</f>
        <v>KPCLPROJECTCOASTALMooring</v>
      </c>
      <c r="H99">
        <f>KPCL!C26</f>
        <v>3.4720000000000001E-2</v>
      </c>
      <c r="I99">
        <f>KPCL!D26</f>
        <v>0</v>
      </c>
      <c r="J99" t="s">
        <v>16</v>
      </c>
    </row>
    <row r="100" spans="2:10" hidden="1" x14ac:dyDescent="0.3">
      <c r="B100" t="s">
        <v>214</v>
      </c>
      <c r="C100" t="s">
        <v>98</v>
      </c>
      <c r="D100" t="s">
        <v>323</v>
      </c>
      <c r="E100" t="s">
        <v>163</v>
      </c>
      <c r="F100" t="s">
        <v>75</v>
      </c>
      <c r="G100" s="31" t="str">
        <f>Table13[[#This Row],[PORT]]&amp;Table13[[#This Row],[VESSEL TYPE]]&amp;Table13[[#This Row],[VESSEL RUN]]&amp;Table13[[#This Row],[SERVICE]]</f>
        <v>KPCLPROJECTCOASTALPort Env &amp; Safety</v>
      </c>
      <c r="H100">
        <f>IF($AA$1&lt;=10000,KPCL!C30,IF($AA$1&lt;=30000,KPCL!C31,KPCL!C32))</f>
        <v>200</v>
      </c>
      <c r="I100">
        <f>IF(AD1&lt;=10000,KPCL!D30,IF(AD1&lt;=30000,KPCL!D31,KPCL!D32))</f>
        <v>0</v>
      </c>
      <c r="J100" t="s">
        <v>16</v>
      </c>
    </row>
  </sheetData>
  <pageMargins left="0.7" right="0.7" top="0.75" bottom="0.75" header="0.3" footer="0.3"/>
  <pageSetup orientation="portrait" r:id="rId5"/>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528C6-77C2-4085-803D-CC7F4920215A}">
  <dimension ref="A1:Y108"/>
  <sheetViews>
    <sheetView topLeftCell="I1" workbookViewId="0">
      <selection activeCell="C7" sqref="C7:D10"/>
    </sheetView>
  </sheetViews>
  <sheetFormatPr defaultRowHeight="14.4" x14ac:dyDescent="0.3"/>
  <cols>
    <col min="1" max="1" width="13" bestFit="1" customWidth="1"/>
    <col min="2" max="2" width="11.33203125" bestFit="1" customWidth="1"/>
    <col min="3" max="3" width="24" bestFit="1" customWidth="1"/>
    <col min="4" max="4" width="13.88671875" bestFit="1" customWidth="1"/>
    <col min="5" max="5" width="18.109375" bestFit="1" customWidth="1"/>
    <col min="6" max="6" width="46.33203125" bestFit="1" customWidth="1"/>
    <col min="7" max="7" width="12.33203125" bestFit="1" customWidth="1"/>
    <col min="8" max="8" width="18.88671875" bestFit="1" customWidth="1"/>
    <col min="10" max="10" width="19.88671875" customWidth="1"/>
    <col min="11" max="11" width="11.44140625" bestFit="1" customWidth="1"/>
    <col min="12" max="12" width="14" customWidth="1"/>
    <col min="13" max="13" width="13.6640625" customWidth="1"/>
    <col min="14" max="14" width="10.33203125" customWidth="1"/>
    <col min="15" max="15" width="10.5546875" bestFit="1" customWidth="1"/>
    <col min="16" max="16" width="14.109375" customWidth="1"/>
    <col min="17" max="17" width="14.44140625" customWidth="1"/>
    <col min="18" max="18" width="7.44140625" bestFit="1" customWidth="1"/>
    <col min="21" max="21" width="10.109375" customWidth="1"/>
    <col min="22" max="23" width="11.5546875" bestFit="1" customWidth="1"/>
    <col min="25" max="25" width="11.6640625" bestFit="1" customWidth="1"/>
    <col min="26" max="27" width="14.5546875" bestFit="1" customWidth="1"/>
  </cols>
  <sheetData>
    <row r="1" spans="1:23" x14ac:dyDescent="0.3">
      <c r="O1" t="s">
        <v>90</v>
      </c>
      <c r="P1" t="s">
        <v>349</v>
      </c>
      <c r="Q1" t="s">
        <v>350</v>
      </c>
      <c r="R1" t="s">
        <v>348</v>
      </c>
      <c r="T1" t="s">
        <v>249</v>
      </c>
      <c r="U1">
        <f>newCalc!G6</f>
        <v>37000</v>
      </c>
    </row>
    <row r="2" spans="1:23" x14ac:dyDescent="0.3">
      <c r="N2" t="str">
        <f>N13</f>
        <v>Berth Hire</v>
      </c>
      <c r="O2" t="s">
        <v>78</v>
      </c>
      <c r="P2" t="s">
        <v>260</v>
      </c>
      <c r="Q2" t="s">
        <v>116</v>
      </c>
      <c r="R2" s="59">
        <f>SUMIFS(W:W,K:K,O2,L:L,P2,M:M,Q2)</f>
        <v>0.25999050000000001</v>
      </c>
      <c r="T2" t="s">
        <v>250</v>
      </c>
      <c r="U2">
        <f>ControlPanel!E4</f>
        <v>1</v>
      </c>
    </row>
    <row r="3" spans="1:23" x14ac:dyDescent="0.3">
      <c r="O3" t="s">
        <v>95</v>
      </c>
      <c r="P3" t="s">
        <v>260</v>
      </c>
      <c r="Q3" t="s">
        <v>116</v>
      </c>
      <c r="R3" s="59">
        <f t="shared" ref="R3:R9" si="0">SUMIFS(W:W,K:K,O3,L:L,P3,M:M,Q3)</f>
        <v>0.30940679999999998</v>
      </c>
      <c r="T3" t="s">
        <v>251</v>
      </c>
      <c r="U3">
        <f>ControlPanel!E5</f>
        <v>75</v>
      </c>
    </row>
    <row r="4" spans="1:23" x14ac:dyDescent="0.3">
      <c r="O4" t="s">
        <v>80</v>
      </c>
      <c r="P4" t="s">
        <v>260</v>
      </c>
      <c r="Q4" t="s">
        <v>116</v>
      </c>
      <c r="R4" s="59">
        <f t="shared" si="0"/>
        <v>0.34764855</v>
      </c>
    </row>
    <row r="5" spans="1:23" x14ac:dyDescent="0.3">
      <c r="O5" t="s">
        <v>96</v>
      </c>
      <c r="P5" t="s">
        <v>260</v>
      </c>
      <c r="Q5" t="s">
        <v>116</v>
      </c>
      <c r="R5" s="59">
        <f t="shared" si="0"/>
        <v>0.58023000000000002</v>
      </c>
    </row>
    <row r="6" spans="1:23" x14ac:dyDescent="0.3">
      <c r="O6" t="s">
        <v>97</v>
      </c>
      <c r="P6" t="s">
        <v>260</v>
      </c>
      <c r="Q6" t="s">
        <v>116</v>
      </c>
      <c r="R6" s="59">
        <f t="shared" si="0"/>
        <v>0.21983250000000001</v>
      </c>
    </row>
    <row r="7" spans="1:23" x14ac:dyDescent="0.3">
      <c r="O7" t="s">
        <v>98</v>
      </c>
      <c r="P7" t="s">
        <v>260</v>
      </c>
      <c r="Q7" t="s">
        <v>116</v>
      </c>
      <c r="R7" s="59">
        <f t="shared" si="0"/>
        <v>0.36599729999999991</v>
      </c>
    </row>
    <row r="8" spans="1:23" x14ac:dyDescent="0.3">
      <c r="O8" t="s">
        <v>106</v>
      </c>
      <c r="P8" t="s">
        <v>260</v>
      </c>
      <c r="Q8" t="s">
        <v>116</v>
      </c>
      <c r="R8" s="59">
        <f t="shared" si="0"/>
        <v>0.40581149999999999</v>
      </c>
    </row>
    <row r="9" spans="1:23" x14ac:dyDescent="0.3">
      <c r="O9" t="s">
        <v>99</v>
      </c>
      <c r="P9" t="s">
        <v>260</v>
      </c>
      <c r="Q9" t="s">
        <v>116</v>
      </c>
      <c r="R9" s="59">
        <f t="shared" si="0"/>
        <v>0.39674999999999999</v>
      </c>
    </row>
    <row r="12" spans="1:23" x14ac:dyDescent="0.3">
      <c r="A12" s="1" t="s">
        <v>213</v>
      </c>
      <c r="B12" s="1" t="s">
        <v>90</v>
      </c>
      <c r="C12" s="1" t="s">
        <v>79</v>
      </c>
      <c r="D12" s="1" t="s">
        <v>117</v>
      </c>
      <c r="E12" s="1" t="s">
        <v>6</v>
      </c>
      <c r="F12" s="1" t="s">
        <v>91</v>
      </c>
      <c r="G12" t="s">
        <v>247</v>
      </c>
      <c r="H12" t="s">
        <v>248</v>
      </c>
      <c r="J12" s="54" t="s">
        <v>253</v>
      </c>
      <c r="K12" s="54" t="s">
        <v>90</v>
      </c>
      <c r="L12" s="54" t="s">
        <v>79</v>
      </c>
      <c r="M12" s="54" t="s">
        <v>117</v>
      </c>
      <c r="N12" s="54" t="s">
        <v>6</v>
      </c>
      <c r="O12" s="54" t="s">
        <v>2</v>
      </c>
      <c r="P12" s="54" t="s">
        <v>8</v>
      </c>
      <c r="Q12" s="54" t="s">
        <v>304</v>
      </c>
      <c r="R12" s="54" t="s">
        <v>339</v>
      </c>
      <c r="S12" s="54" t="s">
        <v>249</v>
      </c>
      <c r="T12" s="54" t="s">
        <v>338</v>
      </c>
      <c r="U12" s="54" t="s">
        <v>306</v>
      </c>
      <c r="V12" s="54" t="s">
        <v>336</v>
      </c>
      <c r="W12" s="54" t="s">
        <v>337</v>
      </c>
    </row>
    <row r="13" spans="1:23" hidden="1" x14ac:dyDescent="0.3">
      <c r="A13" t="s">
        <v>214</v>
      </c>
      <c r="B13" t="s">
        <v>80</v>
      </c>
      <c r="C13" t="s">
        <v>89</v>
      </c>
      <c r="D13" t="s">
        <v>116</v>
      </c>
      <c r="E13" t="s">
        <v>7</v>
      </c>
      <c r="F13" t="s">
        <v>217</v>
      </c>
      <c r="G13" s="31">
        <v>1.9349999999999999E-2</v>
      </c>
      <c r="H13" s="31">
        <v>820</v>
      </c>
      <c r="J13" t="str">
        <f>K13&amp;L13&amp;M13&amp;N13</f>
        <v>DAHEJCOAL &amp; PROJECTFOREIGNBerth Hire</v>
      </c>
      <c r="K13" s="50" t="str">
        <f>B13</f>
        <v>DAHEJ</v>
      </c>
      <c r="L13" s="50" t="str">
        <f>C13</f>
        <v>COAL &amp; PROJECT</v>
      </c>
      <c r="M13" s="50" t="str">
        <f>D13</f>
        <v>FOREIGN</v>
      </c>
      <c r="N13" s="50" t="str">
        <f>E13</f>
        <v>Berth Hire</v>
      </c>
      <c r="O13" s="48">
        <f>IFERROR(VLOOKUP(J13,'Tariff Master'!G:J,2,0),0)</f>
        <v>1.9349999999999999E-2</v>
      </c>
      <c r="P13">
        <f>IFERROR(VLOOKUP(J13,'Tariff Master'!G:J,3,0),0)</f>
        <v>820</v>
      </c>
      <c r="Q13" t="str">
        <f>IFERROR(VLOOKUP(J13,'Tariff Master'!G:J,4,0),0)</f>
        <v>USD</v>
      </c>
      <c r="S13">
        <f>IF(N13="Port Env &amp; Safety",1,$U$1)</f>
        <v>37000</v>
      </c>
      <c r="T13">
        <f>IF(N13="Berth Hire",$U$2,1)</f>
        <v>1</v>
      </c>
      <c r="U13">
        <f>$U$3</f>
        <v>75</v>
      </c>
      <c r="V13" s="55">
        <f t="shared" ref="V13:V44" si="1">MAX(S13*O13*IF(N13="Berth Hire",T13,1),P13)</f>
        <v>820</v>
      </c>
      <c r="W13" s="56">
        <f t="shared" ref="W13:W44" si="2">V13*U13/10^7</f>
        <v>6.1500000000000001E-3</v>
      </c>
    </row>
    <row r="14" spans="1:23" hidden="1" x14ac:dyDescent="0.3">
      <c r="A14" t="s">
        <v>214</v>
      </c>
      <c r="B14" t="s">
        <v>80</v>
      </c>
      <c r="C14" t="s">
        <v>89</v>
      </c>
      <c r="D14" t="s">
        <v>116</v>
      </c>
      <c r="E14" t="s">
        <v>4</v>
      </c>
      <c r="F14" t="s">
        <v>218</v>
      </c>
      <c r="G14" s="31">
        <v>3.4720000000000001E-2</v>
      </c>
      <c r="H14" s="31">
        <v>200</v>
      </c>
      <c r="J14" t="str">
        <f t="shared" ref="J14:J52" si="3">K14&amp;L14&amp;M14&amp;N14</f>
        <v>DAHEJCOAL &amp; PROJECTFOREIGNMooring</v>
      </c>
      <c r="K14" s="50" t="str">
        <f t="shared" ref="K14:K52" si="4">B14</f>
        <v>DAHEJ</v>
      </c>
      <c r="L14" s="50" t="str">
        <f t="shared" ref="L14:L52" si="5">C14</f>
        <v>COAL &amp; PROJECT</v>
      </c>
      <c r="M14" s="50" t="str">
        <f t="shared" ref="M14:M52" si="6">D14</f>
        <v>FOREIGN</v>
      </c>
      <c r="N14" s="50" t="str">
        <f t="shared" ref="N14:N52" si="7">E14</f>
        <v>Mooring</v>
      </c>
      <c r="O14" s="48">
        <f>IFERROR(VLOOKUP(J14,'Tariff Master'!G:J,2,0),0)</f>
        <v>3.4720000000000001E-2</v>
      </c>
      <c r="P14">
        <f>IFERROR(VLOOKUP(J14,'Tariff Master'!G:J,3,0),0)</f>
        <v>200</v>
      </c>
      <c r="Q14" t="str">
        <f>IFERROR(VLOOKUP(J14,'Tariff Master'!G:J,4,0),0)</f>
        <v>USD</v>
      </c>
      <c r="S14">
        <f t="shared" ref="S14:S77" si="8">IF(N14="Port Env &amp; Safety",1,$U$1)</f>
        <v>37000</v>
      </c>
      <c r="T14">
        <f t="shared" ref="T14:T77" si="9">IF(N14="Berth Hire",$U$2,1)</f>
        <v>1</v>
      </c>
      <c r="U14">
        <f t="shared" ref="U14:U77" si="10">$U$3</f>
        <v>75</v>
      </c>
      <c r="V14" s="55">
        <f t="shared" si="1"/>
        <v>1284.6400000000001</v>
      </c>
      <c r="W14" s="56">
        <f t="shared" si="2"/>
        <v>9.6348000000000007E-3</v>
      </c>
    </row>
    <row r="15" spans="1:23" hidden="1" x14ac:dyDescent="0.3">
      <c r="A15" t="s">
        <v>214</v>
      </c>
      <c r="B15" t="s">
        <v>80</v>
      </c>
      <c r="C15" t="s">
        <v>89</v>
      </c>
      <c r="D15" t="s">
        <v>116</v>
      </c>
      <c r="E15" t="s">
        <v>3</v>
      </c>
      <c r="F15" t="s">
        <v>219</v>
      </c>
      <c r="G15" s="31">
        <v>1.5580000000000001</v>
      </c>
      <c r="H15" s="31">
        <v>925</v>
      </c>
      <c r="J15" t="str">
        <f t="shared" si="3"/>
        <v>DAHEJCOAL &amp; PROJECTFOREIGNPilotage</v>
      </c>
      <c r="K15" s="50" t="str">
        <f t="shared" si="4"/>
        <v>DAHEJ</v>
      </c>
      <c r="L15" s="50" t="str">
        <f t="shared" si="5"/>
        <v>COAL &amp; PROJECT</v>
      </c>
      <c r="M15" s="50" t="str">
        <f t="shared" si="6"/>
        <v>FOREIGN</v>
      </c>
      <c r="N15" s="50" t="str">
        <f t="shared" si="7"/>
        <v>Pilotage</v>
      </c>
      <c r="O15" s="48">
        <f>IFERROR(VLOOKUP(J15,'Tariff Master'!G:J,2,0),0)</f>
        <v>1.5580000000000001</v>
      </c>
      <c r="P15">
        <f>IFERROR(VLOOKUP(J15,'Tariff Master'!G:J,3,0),0)</f>
        <v>925</v>
      </c>
      <c r="Q15" t="str">
        <f>IFERROR(VLOOKUP(J15,'Tariff Master'!G:J,4,0),0)</f>
        <v>USD</v>
      </c>
      <c r="S15">
        <f t="shared" si="8"/>
        <v>37000</v>
      </c>
      <c r="T15">
        <f t="shared" si="9"/>
        <v>1</v>
      </c>
      <c r="U15">
        <f t="shared" si="10"/>
        <v>75</v>
      </c>
      <c r="V15" s="55">
        <f t="shared" si="1"/>
        <v>57646</v>
      </c>
      <c r="W15" s="56">
        <f t="shared" si="2"/>
        <v>0.43234499999999998</v>
      </c>
    </row>
    <row r="16" spans="1:23" hidden="1" x14ac:dyDescent="0.3">
      <c r="A16" t="s">
        <v>214</v>
      </c>
      <c r="B16" t="s">
        <v>80</v>
      </c>
      <c r="C16" t="s">
        <v>89</v>
      </c>
      <c r="D16" t="s">
        <v>116</v>
      </c>
      <c r="E16" t="s">
        <v>0</v>
      </c>
      <c r="F16" t="s">
        <v>220</v>
      </c>
      <c r="G16" s="31">
        <v>0.26800000000000002</v>
      </c>
      <c r="H16" s="31">
        <v>1200</v>
      </c>
      <c r="J16" t="str">
        <f t="shared" si="3"/>
        <v>DAHEJCOAL &amp; PROJECTFOREIGNPort Dues</v>
      </c>
      <c r="K16" s="50" t="str">
        <f t="shared" si="4"/>
        <v>DAHEJ</v>
      </c>
      <c r="L16" s="50" t="str">
        <f t="shared" si="5"/>
        <v>COAL &amp; PROJECT</v>
      </c>
      <c r="M16" s="50" t="str">
        <f t="shared" si="6"/>
        <v>FOREIGN</v>
      </c>
      <c r="N16" s="50" t="str">
        <f t="shared" si="7"/>
        <v>Port Dues</v>
      </c>
      <c r="O16" s="48">
        <f>IFERROR(VLOOKUP(J16,'Tariff Master'!G:J,2,0),0)</f>
        <v>0.26800000000000002</v>
      </c>
      <c r="P16">
        <f>IFERROR(VLOOKUP(J16,'Tariff Master'!G:J,3,0),0)</f>
        <v>1200</v>
      </c>
      <c r="Q16" t="str">
        <f>IFERROR(VLOOKUP(J16,'Tariff Master'!G:J,4,0),0)</f>
        <v>USD</v>
      </c>
      <c r="S16">
        <f t="shared" si="8"/>
        <v>37000</v>
      </c>
      <c r="T16">
        <f t="shared" si="9"/>
        <v>1</v>
      </c>
      <c r="U16">
        <f t="shared" si="10"/>
        <v>75</v>
      </c>
      <c r="V16" s="55">
        <f t="shared" si="1"/>
        <v>9916</v>
      </c>
      <c r="W16" s="56">
        <f t="shared" si="2"/>
        <v>7.4370000000000006E-2</v>
      </c>
    </row>
    <row r="17" spans="1:23" hidden="1" x14ac:dyDescent="0.3">
      <c r="A17" t="s">
        <v>214</v>
      </c>
      <c r="B17" t="s">
        <v>80</v>
      </c>
      <c r="C17" t="s">
        <v>89</v>
      </c>
      <c r="D17" t="s">
        <v>116</v>
      </c>
      <c r="E17" t="s">
        <v>75</v>
      </c>
      <c r="F17" t="s">
        <v>221</v>
      </c>
      <c r="G17" s="31">
        <v>200</v>
      </c>
      <c r="H17" s="31">
        <v>0</v>
      </c>
      <c r="J17" t="str">
        <f t="shared" si="3"/>
        <v>DAHEJCOAL &amp; PROJECTFOREIGNPort Env &amp; Safety</v>
      </c>
      <c r="K17" s="50" t="str">
        <f t="shared" si="4"/>
        <v>DAHEJ</v>
      </c>
      <c r="L17" s="50" t="str">
        <f t="shared" si="5"/>
        <v>COAL &amp; PROJECT</v>
      </c>
      <c r="M17" s="50" t="str">
        <f t="shared" si="6"/>
        <v>FOREIGN</v>
      </c>
      <c r="N17" s="50" t="str">
        <f t="shared" si="7"/>
        <v>Port Env &amp; Safety</v>
      </c>
      <c r="O17" s="48">
        <f>IFERROR(VLOOKUP(J17,'Tariff Master'!G:J,2,0),0)</f>
        <v>200</v>
      </c>
      <c r="P17">
        <f>IFERROR(VLOOKUP(J17,'Tariff Master'!G:J,3,0),0)</f>
        <v>0</v>
      </c>
      <c r="Q17" t="str">
        <f>IFERROR(VLOOKUP(J17,'Tariff Master'!G:J,4,0),0)</f>
        <v>USD</v>
      </c>
      <c r="S17">
        <f t="shared" si="8"/>
        <v>1</v>
      </c>
      <c r="T17">
        <f t="shared" si="9"/>
        <v>1</v>
      </c>
      <c r="U17">
        <f t="shared" si="10"/>
        <v>75</v>
      </c>
      <c r="V17" s="55">
        <f t="shared" si="1"/>
        <v>200</v>
      </c>
      <c r="W17" s="56">
        <f t="shared" si="2"/>
        <v>1.5E-3</v>
      </c>
    </row>
    <row r="18" spans="1:23" hidden="1" x14ac:dyDescent="0.3">
      <c r="A18" t="s">
        <v>214</v>
      </c>
      <c r="B18" t="s">
        <v>80</v>
      </c>
      <c r="C18" t="s">
        <v>260</v>
      </c>
      <c r="D18" t="s">
        <v>116</v>
      </c>
      <c r="E18" t="s">
        <v>7</v>
      </c>
      <c r="F18" t="s">
        <v>261</v>
      </c>
      <c r="G18" s="31">
        <v>8.7899999999999992E-3</v>
      </c>
      <c r="H18" s="31">
        <v>820</v>
      </c>
      <c r="J18" t="str">
        <f t="shared" si="3"/>
        <v>DAHEJGENERALFOREIGNBerth Hire</v>
      </c>
      <c r="K18" s="50" t="str">
        <f t="shared" si="4"/>
        <v>DAHEJ</v>
      </c>
      <c r="L18" s="50" t="str">
        <f t="shared" si="5"/>
        <v>GENERAL</v>
      </c>
      <c r="M18" s="50" t="str">
        <f t="shared" si="6"/>
        <v>FOREIGN</v>
      </c>
      <c r="N18" s="50" t="str">
        <f t="shared" si="7"/>
        <v>Berth Hire</v>
      </c>
      <c r="O18" s="48">
        <f>IFERROR(VLOOKUP(J18,'Tariff Master'!G:J,2,0),0)</f>
        <v>8.7899999999999992E-3</v>
      </c>
      <c r="P18">
        <f>IFERROR(VLOOKUP(J18,'Tariff Master'!G:J,3,0),0)</f>
        <v>820</v>
      </c>
      <c r="Q18" t="str">
        <f>IFERROR(VLOOKUP(J18,'Tariff Master'!G:J,4,0),0)</f>
        <v>USD</v>
      </c>
      <c r="S18">
        <f t="shared" si="8"/>
        <v>37000</v>
      </c>
      <c r="T18">
        <f t="shared" si="9"/>
        <v>1</v>
      </c>
      <c r="U18">
        <f t="shared" si="10"/>
        <v>75</v>
      </c>
      <c r="V18" s="55">
        <f t="shared" si="1"/>
        <v>820</v>
      </c>
      <c r="W18" s="56">
        <f t="shared" si="2"/>
        <v>6.1500000000000001E-3</v>
      </c>
    </row>
    <row r="19" spans="1:23" hidden="1" x14ac:dyDescent="0.3">
      <c r="A19" t="s">
        <v>214</v>
      </c>
      <c r="B19" t="s">
        <v>80</v>
      </c>
      <c r="C19" t="s">
        <v>260</v>
      </c>
      <c r="D19" t="s">
        <v>116</v>
      </c>
      <c r="E19" t="s">
        <v>4</v>
      </c>
      <c r="F19" t="s">
        <v>262</v>
      </c>
      <c r="G19" s="31">
        <v>3.4720000000000001E-2</v>
      </c>
      <c r="H19" s="31">
        <v>200</v>
      </c>
      <c r="J19" t="str">
        <f t="shared" si="3"/>
        <v>DAHEJGENERALFOREIGNMooring</v>
      </c>
      <c r="K19" s="50" t="str">
        <f t="shared" si="4"/>
        <v>DAHEJ</v>
      </c>
      <c r="L19" s="50" t="str">
        <f t="shared" si="5"/>
        <v>GENERAL</v>
      </c>
      <c r="M19" s="50" t="str">
        <f t="shared" si="6"/>
        <v>FOREIGN</v>
      </c>
      <c r="N19" s="50" t="str">
        <f t="shared" si="7"/>
        <v>Mooring</v>
      </c>
      <c r="O19" s="48">
        <f>IFERROR(VLOOKUP(J19,'Tariff Master'!G:J,2,0),0)</f>
        <v>3.4720000000000001E-2</v>
      </c>
      <c r="P19">
        <f>IFERROR(VLOOKUP(J19,'Tariff Master'!G:J,3,0),0)</f>
        <v>200</v>
      </c>
      <c r="Q19" t="str">
        <f>IFERROR(VLOOKUP(J19,'Tariff Master'!G:J,4,0),0)</f>
        <v>USD</v>
      </c>
      <c r="S19">
        <f t="shared" si="8"/>
        <v>37000</v>
      </c>
      <c r="T19">
        <f t="shared" si="9"/>
        <v>1</v>
      </c>
      <c r="U19">
        <f t="shared" si="10"/>
        <v>75</v>
      </c>
      <c r="V19" s="55">
        <f t="shared" si="1"/>
        <v>1284.6400000000001</v>
      </c>
      <c r="W19" s="56">
        <f t="shared" si="2"/>
        <v>9.6348000000000007E-3</v>
      </c>
    </row>
    <row r="20" spans="1:23" hidden="1" x14ac:dyDescent="0.3">
      <c r="A20" t="s">
        <v>214</v>
      </c>
      <c r="B20" t="s">
        <v>80</v>
      </c>
      <c r="C20" t="s">
        <v>260</v>
      </c>
      <c r="D20" t="s">
        <v>116</v>
      </c>
      <c r="E20" t="s">
        <v>3</v>
      </c>
      <c r="F20" t="s">
        <v>263</v>
      </c>
      <c r="G20" s="31">
        <v>0.92249999999999999</v>
      </c>
      <c r="H20" s="31">
        <v>615</v>
      </c>
      <c r="J20" t="str">
        <f t="shared" si="3"/>
        <v>DAHEJGENERALFOREIGNPilotage</v>
      </c>
      <c r="K20" s="50" t="str">
        <f t="shared" si="4"/>
        <v>DAHEJ</v>
      </c>
      <c r="L20" s="50" t="str">
        <f t="shared" si="5"/>
        <v>GENERAL</v>
      </c>
      <c r="M20" s="50" t="str">
        <f t="shared" si="6"/>
        <v>FOREIGN</v>
      </c>
      <c r="N20" s="50" t="str">
        <f t="shared" si="7"/>
        <v>Pilotage</v>
      </c>
      <c r="O20" s="48">
        <f>IFERROR(VLOOKUP(J20,'Tariff Master'!G:J,2,0),0)</f>
        <v>0.92249999999999999</v>
      </c>
      <c r="P20">
        <f>IFERROR(VLOOKUP(J20,'Tariff Master'!G:J,3,0),0)</f>
        <v>615</v>
      </c>
      <c r="Q20" t="str">
        <f>IFERROR(VLOOKUP(J20,'Tariff Master'!G:J,4,0),0)</f>
        <v>USD</v>
      </c>
      <c r="S20">
        <f t="shared" si="8"/>
        <v>37000</v>
      </c>
      <c r="T20">
        <f t="shared" si="9"/>
        <v>1</v>
      </c>
      <c r="U20">
        <f t="shared" si="10"/>
        <v>75</v>
      </c>
      <c r="V20" s="55">
        <f t="shared" si="1"/>
        <v>34132.5</v>
      </c>
      <c r="W20" s="56">
        <f t="shared" si="2"/>
        <v>0.25599375000000002</v>
      </c>
    </row>
    <row r="21" spans="1:23" hidden="1" x14ac:dyDescent="0.3">
      <c r="A21" t="s">
        <v>214</v>
      </c>
      <c r="B21" t="s">
        <v>80</v>
      </c>
      <c r="C21" t="s">
        <v>260</v>
      </c>
      <c r="D21" t="s">
        <v>116</v>
      </c>
      <c r="E21" t="s">
        <v>0</v>
      </c>
      <c r="F21" t="s">
        <v>264</v>
      </c>
      <c r="G21" s="31">
        <v>0.26800000000000002</v>
      </c>
      <c r="H21" s="31">
        <v>1200</v>
      </c>
      <c r="J21" t="str">
        <f t="shared" si="3"/>
        <v>DAHEJGENERALFOREIGNPort Dues</v>
      </c>
      <c r="K21" s="50" t="str">
        <f t="shared" si="4"/>
        <v>DAHEJ</v>
      </c>
      <c r="L21" s="50" t="str">
        <f t="shared" si="5"/>
        <v>GENERAL</v>
      </c>
      <c r="M21" s="50" t="str">
        <f t="shared" si="6"/>
        <v>FOREIGN</v>
      </c>
      <c r="N21" s="50" t="str">
        <f t="shared" si="7"/>
        <v>Port Dues</v>
      </c>
      <c r="O21" s="48">
        <f>IFERROR(VLOOKUP(J21,'Tariff Master'!G:J,2,0),0)</f>
        <v>0.26800000000000002</v>
      </c>
      <c r="P21">
        <f>IFERROR(VLOOKUP(J21,'Tariff Master'!G:J,3,0),0)</f>
        <v>1200</v>
      </c>
      <c r="Q21" t="str">
        <f>IFERROR(VLOOKUP(J21,'Tariff Master'!G:J,4,0),0)</f>
        <v>USD</v>
      </c>
      <c r="S21">
        <f t="shared" si="8"/>
        <v>37000</v>
      </c>
      <c r="T21">
        <f t="shared" si="9"/>
        <v>1</v>
      </c>
      <c r="U21">
        <f t="shared" si="10"/>
        <v>75</v>
      </c>
      <c r="V21" s="55">
        <f t="shared" si="1"/>
        <v>9916</v>
      </c>
      <c r="W21" s="56">
        <f t="shared" si="2"/>
        <v>7.4370000000000006E-2</v>
      </c>
    </row>
    <row r="22" spans="1:23" hidden="1" x14ac:dyDescent="0.3">
      <c r="A22" t="s">
        <v>214</v>
      </c>
      <c r="B22" t="s">
        <v>80</v>
      </c>
      <c r="C22" t="s">
        <v>260</v>
      </c>
      <c r="D22" t="s">
        <v>116</v>
      </c>
      <c r="E22" t="s">
        <v>75</v>
      </c>
      <c r="F22" t="s">
        <v>265</v>
      </c>
      <c r="G22" s="31">
        <v>200</v>
      </c>
      <c r="H22" s="31">
        <v>0</v>
      </c>
      <c r="J22" t="str">
        <f t="shared" si="3"/>
        <v>DAHEJGENERALFOREIGNPort Env &amp; Safety</v>
      </c>
      <c r="K22" s="50" t="str">
        <f t="shared" si="4"/>
        <v>DAHEJ</v>
      </c>
      <c r="L22" s="50" t="str">
        <f t="shared" si="5"/>
        <v>GENERAL</v>
      </c>
      <c r="M22" s="50" t="str">
        <f t="shared" si="6"/>
        <v>FOREIGN</v>
      </c>
      <c r="N22" s="50" t="str">
        <f t="shared" si="7"/>
        <v>Port Env &amp; Safety</v>
      </c>
      <c r="O22" s="48">
        <f>IFERROR(VLOOKUP(J22,'Tariff Master'!G:J,2,0),0)</f>
        <v>200</v>
      </c>
      <c r="P22">
        <f>IFERROR(VLOOKUP(J22,'Tariff Master'!G:J,3,0),0)</f>
        <v>0</v>
      </c>
      <c r="Q22" t="str">
        <f>IFERROR(VLOOKUP(J22,'Tariff Master'!G:J,4,0),0)</f>
        <v>USD</v>
      </c>
      <c r="S22">
        <f t="shared" si="8"/>
        <v>1</v>
      </c>
      <c r="T22">
        <f t="shared" si="9"/>
        <v>1</v>
      </c>
      <c r="U22">
        <f t="shared" si="10"/>
        <v>75</v>
      </c>
      <c r="V22" s="55">
        <f t="shared" si="1"/>
        <v>200</v>
      </c>
      <c r="W22" s="56">
        <f t="shared" si="2"/>
        <v>1.5E-3</v>
      </c>
    </row>
    <row r="23" spans="1:23" hidden="1" x14ac:dyDescent="0.3">
      <c r="A23" t="s">
        <v>214</v>
      </c>
      <c r="B23" t="s">
        <v>96</v>
      </c>
      <c r="C23" t="s">
        <v>260</v>
      </c>
      <c r="D23" t="s">
        <v>116</v>
      </c>
      <c r="E23" t="s">
        <v>7</v>
      </c>
      <c r="F23" t="s">
        <v>266</v>
      </c>
      <c r="G23" s="31">
        <v>0.01</v>
      </c>
      <c r="H23" s="31">
        <v>720</v>
      </c>
      <c r="J23" t="str">
        <f t="shared" si="3"/>
        <v>DHAMRAGENERALFOREIGNBerth Hire</v>
      </c>
      <c r="K23" s="50" t="str">
        <f t="shared" si="4"/>
        <v>DHAMRA</v>
      </c>
      <c r="L23" s="50" t="str">
        <f t="shared" si="5"/>
        <v>GENERAL</v>
      </c>
      <c r="M23" s="50" t="str">
        <f t="shared" si="6"/>
        <v>FOREIGN</v>
      </c>
      <c r="N23" s="50" t="str">
        <f t="shared" si="7"/>
        <v>Berth Hire</v>
      </c>
      <c r="O23" s="48">
        <f>IFERROR(VLOOKUP(J23,'Tariff Master'!G:J,2,0),0)</f>
        <v>0.01</v>
      </c>
      <c r="P23">
        <f>IFERROR(VLOOKUP(J23,'Tariff Master'!G:J,3,0),0)</f>
        <v>720</v>
      </c>
      <c r="Q23" t="str">
        <f>IFERROR(VLOOKUP(J23,'Tariff Master'!G:J,4,0),0)</f>
        <v>USD</v>
      </c>
      <c r="S23">
        <f t="shared" si="8"/>
        <v>37000</v>
      </c>
      <c r="T23">
        <f t="shared" si="9"/>
        <v>1</v>
      </c>
      <c r="U23">
        <f t="shared" si="10"/>
        <v>75</v>
      </c>
      <c r="V23" s="55">
        <f t="shared" si="1"/>
        <v>720</v>
      </c>
      <c r="W23" s="56">
        <f t="shared" si="2"/>
        <v>5.4000000000000003E-3</v>
      </c>
    </row>
    <row r="24" spans="1:23" hidden="1" x14ac:dyDescent="0.3">
      <c r="A24" t="s">
        <v>214</v>
      </c>
      <c r="B24" t="s">
        <v>96</v>
      </c>
      <c r="C24" t="s">
        <v>260</v>
      </c>
      <c r="D24" t="s">
        <v>116</v>
      </c>
      <c r="E24" t="s">
        <v>4</v>
      </c>
      <c r="F24" t="s">
        <v>267</v>
      </c>
      <c r="G24" s="31">
        <v>3.4720000000000001E-2</v>
      </c>
      <c r="H24" s="31">
        <v>0</v>
      </c>
      <c r="J24" t="str">
        <f t="shared" si="3"/>
        <v>DHAMRAGENERALFOREIGNMooring</v>
      </c>
      <c r="K24" s="50" t="str">
        <f t="shared" si="4"/>
        <v>DHAMRA</v>
      </c>
      <c r="L24" s="50" t="str">
        <f t="shared" si="5"/>
        <v>GENERAL</v>
      </c>
      <c r="M24" s="50" t="str">
        <f t="shared" si="6"/>
        <v>FOREIGN</v>
      </c>
      <c r="N24" s="50" t="str">
        <f t="shared" si="7"/>
        <v>Mooring</v>
      </c>
      <c r="O24" s="48">
        <f>IFERROR(VLOOKUP(J24,'Tariff Master'!G:J,2,0),0)</f>
        <v>3.4720000000000001E-2</v>
      </c>
      <c r="P24">
        <f>IFERROR(VLOOKUP(J24,'Tariff Master'!G:J,3,0),0)</f>
        <v>0</v>
      </c>
      <c r="Q24" t="str">
        <f>IFERROR(VLOOKUP(J24,'Tariff Master'!G:J,4,0),0)</f>
        <v>USD</v>
      </c>
      <c r="S24">
        <f t="shared" si="8"/>
        <v>37000</v>
      </c>
      <c r="T24">
        <f t="shared" si="9"/>
        <v>1</v>
      </c>
      <c r="U24">
        <f t="shared" si="10"/>
        <v>75</v>
      </c>
      <c r="V24" s="55">
        <f t="shared" si="1"/>
        <v>1284.6400000000001</v>
      </c>
      <c r="W24" s="56">
        <f t="shared" si="2"/>
        <v>9.6348000000000007E-3</v>
      </c>
    </row>
    <row r="25" spans="1:23" hidden="1" x14ac:dyDescent="0.3">
      <c r="A25" t="s">
        <v>214</v>
      </c>
      <c r="B25" t="s">
        <v>96</v>
      </c>
      <c r="C25" t="s">
        <v>260</v>
      </c>
      <c r="D25" t="s">
        <v>116</v>
      </c>
      <c r="E25" t="s">
        <v>3</v>
      </c>
      <c r="F25" t="s">
        <v>268</v>
      </c>
      <c r="G25" s="31">
        <v>1.9731000000000001</v>
      </c>
      <c r="H25" s="31">
        <v>0</v>
      </c>
      <c r="J25" t="str">
        <f t="shared" si="3"/>
        <v>DHAMRAGENERALFOREIGNPilotage</v>
      </c>
      <c r="K25" s="50" t="str">
        <f t="shared" si="4"/>
        <v>DHAMRA</v>
      </c>
      <c r="L25" s="50" t="str">
        <f t="shared" si="5"/>
        <v>GENERAL</v>
      </c>
      <c r="M25" s="50" t="str">
        <f t="shared" si="6"/>
        <v>FOREIGN</v>
      </c>
      <c r="N25" s="50" t="str">
        <f t="shared" si="7"/>
        <v>Pilotage</v>
      </c>
      <c r="O25" s="48">
        <f>IFERROR(VLOOKUP(J25,'Tariff Master'!G:J,2,0),0)</f>
        <v>1.9731000000000001</v>
      </c>
      <c r="P25">
        <f>IFERROR(VLOOKUP(J25,'Tariff Master'!G:J,3,0),0)</f>
        <v>0</v>
      </c>
      <c r="Q25" t="str">
        <f>IFERROR(VLOOKUP(J25,'Tariff Master'!G:J,4,0),0)</f>
        <v>USD</v>
      </c>
      <c r="S25">
        <f t="shared" si="8"/>
        <v>37000</v>
      </c>
      <c r="T25">
        <f t="shared" si="9"/>
        <v>1</v>
      </c>
      <c r="U25">
        <f t="shared" si="10"/>
        <v>75</v>
      </c>
      <c r="V25" s="55">
        <f t="shared" si="1"/>
        <v>73004.7</v>
      </c>
      <c r="W25" s="56">
        <f t="shared" si="2"/>
        <v>0.54753525000000003</v>
      </c>
    </row>
    <row r="26" spans="1:23" hidden="1" x14ac:dyDescent="0.3">
      <c r="A26" t="s">
        <v>214</v>
      </c>
      <c r="B26" t="s">
        <v>96</v>
      </c>
      <c r="C26" t="s">
        <v>260</v>
      </c>
      <c r="D26" t="s">
        <v>116</v>
      </c>
      <c r="E26" t="s">
        <v>0</v>
      </c>
      <c r="F26" t="s">
        <v>269</v>
      </c>
      <c r="G26" s="31">
        <v>5.4179999999999999E-2</v>
      </c>
      <c r="H26" s="31">
        <v>275</v>
      </c>
      <c r="J26" t="str">
        <f t="shared" si="3"/>
        <v>DHAMRAGENERALFOREIGNPort Dues</v>
      </c>
      <c r="K26" s="50" t="str">
        <f t="shared" si="4"/>
        <v>DHAMRA</v>
      </c>
      <c r="L26" s="50" t="str">
        <f t="shared" si="5"/>
        <v>GENERAL</v>
      </c>
      <c r="M26" s="50" t="str">
        <f t="shared" si="6"/>
        <v>FOREIGN</v>
      </c>
      <c r="N26" s="50" t="str">
        <f t="shared" si="7"/>
        <v>Port Dues</v>
      </c>
      <c r="O26" s="48">
        <f>IFERROR(VLOOKUP(J26,'Tariff Master'!G:J,2,0),0)</f>
        <v>5.4179999999999999E-2</v>
      </c>
      <c r="P26">
        <f>IFERROR(VLOOKUP(J26,'Tariff Master'!G:J,3,0),0)</f>
        <v>275</v>
      </c>
      <c r="Q26" t="str">
        <f>IFERROR(VLOOKUP(J26,'Tariff Master'!G:J,4,0),0)</f>
        <v>USD</v>
      </c>
      <c r="S26">
        <f t="shared" si="8"/>
        <v>37000</v>
      </c>
      <c r="T26">
        <f t="shared" si="9"/>
        <v>1</v>
      </c>
      <c r="U26">
        <f t="shared" si="10"/>
        <v>75</v>
      </c>
      <c r="V26" s="55">
        <f t="shared" si="1"/>
        <v>2004.6599999999999</v>
      </c>
      <c r="W26" s="56">
        <f t="shared" si="2"/>
        <v>1.503495E-2</v>
      </c>
    </row>
    <row r="27" spans="1:23" hidden="1" x14ac:dyDescent="0.3">
      <c r="A27" t="s">
        <v>214</v>
      </c>
      <c r="B27" t="s">
        <v>96</v>
      </c>
      <c r="C27" t="s">
        <v>260</v>
      </c>
      <c r="D27" t="s">
        <v>116</v>
      </c>
      <c r="E27" t="s">
        <v>75</v>
      </c>
      <c r="F27" t="s">
        <v>270</v>
      </c>
      <c r="G27" s="31">
        <v>350</v>
      </c>
      <c r="H27" s="31"/>
      <c r="J27" t="str">
        <f t="shared" si="3"/>
        <v>DHAMRAGENERALFOREIGNPort Env &amp; Safety</v>
      </c>
      <c r="K27" s="50" t="str">
        <f t="shared" si="4"/>
        <v>DHAMRA</v>
      </c>
      <c r="L27" s="50" t="str">
        <f t="shared" si="5"/>
        <v>GENERAL</v>
      </c>
      <c r="M27" s="50" t="str">
        <f t="shared" si="6"/>
        <v>FOREIGN</v>
      </c>
      <c r="N27" s="50" t="str">
        <f t="shared" si="7"/>
        <v>Port Env &amp; Safety</v>
      </c>
      <c r="O27" s="48">
        <f>IFERROR(VLOOKUP(J27,'Tariff Master'!G:J,2,0),0)</f>
        <v>350</v>
      </c>
      <c r="P27">
        <f>IFERROR(VLOOKUP(J27,'Tariff Master'!G:J,3,0),0)</f>
        <v>0</v>
      </c>
      <c r="Q27" t="str">
        <f>IFERROR(VLOOKUP(J27,'Tariff Master'!G:J,4,0),0)</f>
        <v>USD</v>
      </c>
      <c r="S27">
        <f t="shared" si="8"/>
        <v>1</v>
      </c>
      <c r="T27">
        <f t="shared" si="9"/>
        <v>1</v>
      </c>
      <c r="U27">
        <f t="shared" si="10"/>
        <v>75</v>
      </c>
      <c r="V27" s="55">
        <f t="shared" si="1"/>
        <v>350</v>
      </c>
      <c r="W27" s="56">
        <f t="shared" si="2"/>
        <v>2.6250000000000002E-3</v>
      </c>
    </row>
    <row r="28" spans="1:23" hidden="1" x14ac:dyDescent="0.3">
      <c r="A28" t="s">
        <v>214</v>
      </c>
      <c r="B28" t="s">
        <v>106</v>
      </c>
      <c r="C28" t="s">
        <v>260</v>
      </c>
      <c r="D28" t="s">
        <v>116</v>
      </c>
      <c r="E28" t="s">
        <v>7</v>
      </c>
      <c r="F28" t="s">
        <v>271</v>
      </c>
      <c r="G28" s="31">
        <v>8.5000000000000006E-3</v>
      </c>
      <c r="H28" s="31">
        <v>495</v>
      </c>
      <c r="J28" t="str">
        <f t="shared" si="3"/>
        <v>DIGHIGENERALFOREIGNBerth Hire</v>
      </c>
      <c r="K28" s="50" t="str">
        <f t="shared" si="4"/>
        <v>DIGHI</v>
      </c>
      <c r="L28" s="50" t="str">
        <f t="shared" si="5"/>
        <v>GENERAL</v>
      </c>
      <c r="M28" s="50" t="str">
        <f t="shared" si="6"/>
        <v>FOREIGN</v>
      </c>
      <c r="N28" s="50" t="str">
        <f t="shared" si="7"/>
        <v>Berth Hire</v>
      </c>
      <c r="O28" s="48">
        <f>IFERROR(VLOOKUP(J28,'Tariff Master'!G:J,2,0),0)</f>
        <v>8.5000000000000006E-3</v>
      </c>
      <c r="P28">
        <f>IFERROR(VLOOKUP(J28,'Tariff Master'!G:J,3,0),0)</f>
        <v>495</v>
      </c>
      <c r="Q28" t="str">
        <f>IFERROR(VLOOKUP(J28,'Tariff Master'!G:J,4,0),0)</f>
        <v>USD</v>
      </c>
      <c r="S28">
        <f t="shared" si="8"/>
        <v>37000</v>
      </c>
      <c r="T28">
        <f t="shared" si="9"/>
        <v>1</v>
      </c>
      <c r="U28">
        <f t="shared" si="10"/>
        <v>75</v>
      </c>
      <c r="V28" s="55">
        <f t="shared" si="1"/>
        <v>495</v>
      </c>
      <c r="W28" s="56">
        <f t="shared" si="2"/>
        <v>3.7125000000000001E-3</v>
      </c>
    </row>
    <row r="29" spans="1:23" hidden="1" x14ac:dyDescent="0.3">
      <c r="A29" t="s">
        <v>214</v>
      </c>
      <c r="B29" t="s">
        <v>106</v>
      </c>
      <c r="C29" t="s">
        <v>260</v>
      </c>
      <c r="D29" t="s">
        <v>116</v>
      </c>
      <c r="E29" t="s">
        <v>4</v>
      </c>
      <c r="F29" t="s">
        <v>272</v>
      </c>
      <c r="G29" s="31">
        <v>0.1736</v>
      </c>
      <c r="H29" s="31">
        <v>200</v>
      </c>
      <c r="J29" t="str">
        <f t="shared" si="3"/>
        <v>DIGHIGENERALFOREIGNMooring</v>
      </c>
      <c r="K29" s="50" t="str">
        <f t="shared" si="4"/>
        <v>DIGHI</v>
      </c>
      <c r="L29" s="50" t="str">
        <f t="shared" si="5"/>
        <v>GENERAL</v>
      </c>
      <c r="M29" s="50" t="str">
        <f t="shared" si="6"/>
        <v>FOREIGN</v>
      </c>
      <c r="N29" s="50" t="str">
        <f t="shared" si="7"/>
        <v>Mooring</v>
      </c>
      <c r="O29" s="48">
        <f>IFERROR(VLOOKUP(J29,'Tariff Master'!G:J,2,0),0)</f>
        <v>0.1736</v>
      </c>
      <c r="P29">
        <f>IFERROR(VLOOKUP(J29,'Tariff Master'!G:J,3,0),0)</f>
        <v>200</v>
      </c>
      <c r="Q29" t="str">
        <f>IFERROR(VLOOKUP(J29,'Tariff Master'!G:J,4,0),0)</f>
        <v>USD</v>
      </c>
      <c r="S29">
        <f t="shared" si="8"/>
        <v>37000</v>
      </c>
      <c r="T29">
        <f t="shared" si="9"/>
        <v>1</v>
      </c>
      <c r="U29">
        <f t="shared" si="10"/>
        <v>75</v>
      </c>
      <c r="V29" s="55">
        <f t="shared" si="1"/>
        <v>6423.2</v>
      </c>
      <c r="W29" s="56">
        <f t="shared" si="2"/>
        <v>4.8174000000000002E-2</v>
      </c>
    </row>
    <row r="30" spans="1:23" hidden="1" x14ac:dyDescent="0.3">
      <c r="A30" t="s">
        <v>214</v>
      </c>
      <c r="B30" t="s">
        <v>106</v>
      </c>
      <c r="C30" t="s">
        <v>260</v>
      </c>
      <c r="D30" t="s">
        <v>116</v>
      </c>
      <c r="E30" t="s">
        <v>3</v>
      </c>
      <c r="F30" t="s">
        <v>273</v>
      </c>
      <c r="G30" s="31">
        <v>1.2064999999999999</v>
      </c>
      <c r="H30" s="31">
        <v>16295</v>
      </c>
      <c r="J30" t="str">
        <f t="shared" si="3"/>
        <v>DIGHIGENERALFOREIGNPilotage</v>
      </c>
      <c r="K30" s="50" t="str">
        <f t="shared" si="4"/>
        <v>DIGHI</v>
      </c>
      <c r="L30" s="50" t="str">
        <f t="shared" si="5"/>
        <v>GENERAL</v>
      </c>
      <c r="M30" s="50" t="str">
        <f t="shared" si="6"/>
        <v>FOREIGN</v>
      </c>
      <c r="N30" s="50" t="str">
        <f t="shared" si="7"/>
        <v>Pilotage</v>
      </c>
      <c r="O30" s="48">
        <f>IFERROR(VLOOKUP(J30,'Tariff Master'!G:J,2,0),0)</f>
        <v>1.2064999999999999</v>
      </c>
      <c r="P30">
        <f>IFERROR(VLOOKUP(J30,'Tariff Master'!G:J,3,0),0)</f>
        <v>16295</v>
      </c>
      <c r="Q30" t="str">
        <f>IFERROR(VLOOKUP(J30,'Tariff Master'!G:J,4,0),0)</f>
        <v>USD</v>
      </c>
      <c r="S30">
        <f t="shared" si="8"/>
        <v>37000</v>
      </c>
      <c r="T30">
        <f t="shared" si="9"/>
        <v>1</v>
      </c>
      <c r="U30">
        <f t="shared" si="10"/>
        <v>75</v>
      </c>
      <c r="V30" s="55">
        <f t="shared" si="1"/>
        <v>44640.5</v>
      </c>
      <c r="W30" s="56">
        <f t="shared" si="2"/>
        <v>0.33480375000000001</v>
      </c>
    </row>
    <row r="31" spans="1:23" hidden="1" x14ac:dyDescent="0.3">
      <c r="A31" t="s">
        <v>214</v>
      </c>
      <c r="B31" t="s">
        <v>106</v>
      </c>
      <c r="C31" t="s">
        <v>260</v>
      </c>
      <c r="D31" t="s">
        <v>116</v>
      </c>
      <c r="E31" t="s">
        <v>0</v>
      </c>
      <c r="F31" t="s">
        <v>274</v>
      </c>
      <c r="G31" s="31">
        <v>6.3500000000000001E-2</v>
      </c>
      <c r="H31" s="31">
        <v>375</v>
      </c>
      <c r="J31" t="str">
        <f t="shared" si="3"/>
        <v>DIGHIGENERALFOREIGNPort Dues</v>
      </c>
      <c r="K31" s="50" t="str">
        <f t="shared" si="4"/>
        <v>DIGHI</v>
      </c>
      <c r="L31" s="50" t="str">
        <f t="shared" si="5"/>
        <v>GENERAL</v>
      </c>
      <c r="M31" s="50" t="str">
        <f t="shared" si="6"/>
        <v>FOREIGN</v>
      </c>
      <c r="N31" s="50" t="str">
        <f t="shared" si="7"/>
        <v>Port Dues</v>
      </c>
      <c r="O31" s="48">
        <f>IFERROR(VLOOKUP(J31,'Tariff Master'!G:J,2,0),0)</f>
        <v>6.3500000000000001E-2</v>
      </c>
      <c r="P31">
        <f>IFERROR(VLOOKUP(J31,'Tariff Master'!G:J,3,0),0)</f>
        <v>375</v>
      </c>
      <c r="Q31" t="str">
        <f>IFERROR(VLOOKUP(J31,'Tariff Master'!G:J,4,0),0)</f>
        <v>USD</v>
      </c>
      <c r="S31">
        <f t="shared" si="8"/>
        <v>37000</v>
      </c>
      <c r="T31">
        <f t="shared" si="9"/>
        <v>1</v>
      </c>
      <c r="U31">
        <f t="shared" si="10"/>
        <v>75</v>
      </c>
      <c r="V31" s="55">
        <f t="shared" si="1"/>
        <v>2349.5</v>
      </c>
      <c r="W31" s="56">
        <f t="shared" si="2"/>
        <v>1.7621250000000001E-2</v>
      </c>
    </row>
    <row r="32" spans="1:23" hidden="1" x14ac:dyDescent="0.3">
      <c r="A32" t="s">
        <v>214</v>
      </c>
      <c r="B32" t="s">
        <v>106</v>
      </c>
      <c r="C32" t="s">
        <v>260</v>
      </c>
      <c r="D32" t="s">
        <v>116</v>
      </c>
      <c r="E32" t="s">
        <v>75</v>
      </c>
      <c r="F32" t="s">
        <v>275</v>
      </c>
      <c r="G32" s="31">
        <v>200</v>
      </c>
      <c r="H32" s="31">
        <v>0</v>
      </c>
      <c r="J32" t="str">
        <f t="shared" si="3"/>
        <v>DIGHIGENERALFOREIGNPort Env &amp; Safety</v>
      </c>
      <c r="K32" s="50" t="str">
        <f t="shared" si="4"/>
        <v>DIGHI</v>
      </c>
      <c r="L32" s="50" t="str">
        <f t="shared" si="5"/>
        <v>GENERAL</v>
      </c>
      <c r="M32" s="50" t="str">
        <f t="shared" si="6"/>
        <v>FOREIGN</v>
      </c>
      <c r="N32" s="50" t="str">
        <f t="shared" si="7"/>
        <v>Port Env &amp; Safety</v>
      </c>
      <c r="O32" s="48">
        <f>IFERROR(VLOOKUP(J32,'Tariff Master'!G:J,2,0),0)</f>
        <v>200</v>
      </c>
      <c r="P32">
        <f>IFERROR(VLOOKUP(J32,'Tariff Master'!G:J,3,0),0)</f>
        <v>0</v>
      </c>
      <c r="Q32" t="str">
        <f>IFERROR(VLOOKUP(J32,'Tariff Master'!G:J,4,0),0)</f>
        <v>USD</v>
      </c>
      <c r="S32">
        <f t="shared" si="8"/>
        <v>1</v>
      </c>
      <c r="T32">
        <f t="shared" si="9"/>
        <v>1</v>
      </c>
      <c r="U32">
        <f t="shared" si="10"/>
        <v>75</v>
      </c>
      <c r="V32" s="55">
        <f t="shared" si="1"/>
        <v>200</v>
      </c>
      <c r="W32" s="56">
        <f t="shared" si="2"/>
        <v>1.5E-3</v>
      </c>
    </row>
    <row r="33" spans="1:23" hidden="1" x14ac:dyDescent="0.3">
      <c r="A33" t="s">
        <v>214</v>
      </c>
      <c r="B33" t="s">
        <v>99</v>
      </c>
      <c r="C33" t="s">
        <v>260</v>
      </c>
      <c r="D33" t="s">
        <v>116</v>
      </c>
      <c r="E33" t="s">
        <v>7</v>
      </c>
      <c r="F33" t="s">
        <v>276</v>
      </c>
      <c r="G33" s="31">
        <v>1.2E-2</v>
      </c>
      <c r="H33" s="31">
        <v>900</v>
      </c>
      <c r="J33" t="str">
        <f t="shared" si="3"/>
        <v>GPLGENERALFOREIGNBerth Hire</v>
      </c>
      <c r="K33" s="50" t="str">
        <f t="shared" si="4"/>
        <v>GPL</v>
      </c>
      <c r="L33" s="50" t="str">
        <f t="shared" si="5"/>
        <v>GENERAL</v>
      </c>
      <c r="M33" s="50" t="str">
        <f t="shared" si="6"/>
        <v>FOREIGN</v>
      </c>
      <c r="N33" s="50" t="str">
        <f t="shared" si="7"/>
        <v>Berth Hire</v>
      </c>
      <c r="O33" s="48">
        <f>IFERROR(VLOOKUP(J33,'Tariff Master'!G:J,2,0),0)</f>
        <v>1.2E-2</v>
      </c>
      <c r="P33">
        <f>IFERROR(VLOOKUP(J33,'Tariff Master'!G:J,3,0),0)</f>
        <v>900</v>
      </c>
      <c r="Q33" t="str">
        <f>IFERROR(VLOOKUP(J33,'Tariff Master'!G:J,4,0),0)</f>
        <v>USD</v>
      </c>
      <c r="S33">
        <f t="shared" si="8"/>
        <v>37000</v>
      </c>
      <c r="T33">
        <f t="shared" si="9"/>
        <v>1</v>
      </c>
      <c r="U33">
        <f t="shared" si="10"/>
        <v>75</v>
      </c>
      <c r="V33" s="55">
        <f t="shared" si="1"/>
        <v>900</v>
      </c>
      <c r="W33" s="56">
        <f t="shared" si="2"/>
        <v>6.7499999999999999E-3</v>
      </c>
    </row>
    <row r="34" spans="1:23" hidden="1" x14ac:dyDescent="0.3">
      <c r="A34" t="s">
        <v>214</v>
      </c>
      <c r="B34" t="s">
        <v>99</v>
      </c>
      <c r="C34" t="s">
        <v>260</v>
      </c>
      <c r="D34" t="s">
        <v>116</v>
      </c>
      <c r="E34" t="s">
        <v>4</v>
      </c>
      <c r="F34" t="s">
        <v>277</v>
      </c>
      <c r="G34" s="31">
        <v>0.03</v>
      </c>
      <c r="H34" s="31">
        <v>200</v>
      </c>
      <c r="J34" t="str">
        <f t="shared" si="3"/>
        <v>GPLGENERALFOREIGNMooring</v>
      </c>
      <c r="K34" s="50" t="str">
        <f t="shared" si="4"/>
        <v>GPL</v>
      </c>
      <c r="L34" s="50" t="str">
        <f t="shared" si="5"/>
        <v>GENERAL</v>
      </c>
      <c r="M34" s="50" t="str">
        <f t="shared" si="6"/>
        <v>FOREIGN</v>
      </c>
      <c r="N34" s="50" t="str">
        <f t="shared" si="7"/>
        <v>Mooring</v>
      </c>
      <c r="O34" s="48">
        <f>IFERROR(VLOOKUP(J34,'Tariff Master'!G:J,2,0),0)</f>
        <v>0.03</v>
      </c>
      <c r="P34">
        <f>IFERROR(VLOOKUP(J34,'Tariff Master'!G:J,3,0),0)</f>
        <v>200</v>
      </c>
      <c r="Q34" t="str">
        <f>IFERROR(VLOOKUP(J34,'Tariff Master'!G:J,4,0),0)</f>
        <v>USD</v>
      </c>
      <c r="S34">
        <f t="shared" si="8"/>
        <v>37000</v>
      </c>
      <c r="T34">
        <f t="shared" si="9"/>
        <v>1</v>
      </c>
      <c r="U34">
        <f t="shared" si="10"/>
        <v>75</v>
      </c>
      <c r="V34" s="55">
        <f t="shared" si="1"/>
        <v>1110</v>
      </c>
      <c r="W34" s="56">
        <f t="shared" si="2"/>
        <v>8.3250000000000008E-3</v>
      </c>
    </row>
    <row r="35" spans="1:23" hidden="1" x14ac:dyDescent="0.3">
      <c r="A35" t="s">
        <v>214</v>
      </c>
      <c r="B35" t="s">
        <v>99</v>
      </c>
      <c r="C35" t="s">
        <v>260</v>
      </c>
      <c r="D35" t="s">
        <v>116</v>
      </c>
      <c r="E35" t="s">
        <v>3</v>
      </c>
      <c r="F35" t="s">
        <v>278</v>
      </c>
      <c r="G35" s="31">
        <v>1.2330000000000001</v>
      </c>
      <c r="H35" s="31">
        <v>15750</v>
      </c>
      <c r="J35" t="str">
        <f t="shared" si="3"/>
        <v>GPLGENERALFOREIGNPilotage</v>
      </c>
      <c r="K35" s="50" t="str">
        <f t="shared" si="4"/>
        <v>GPL</v>
      </c>
      <c r="L35" s="50" t="str">
        <f t="shared" si="5"/>
        <v>GENERAL</v>
      </c>
      <c r="M35" s="50" t="str">
        <f t="shared" si="6"/>
        <v>FOREIGN</v>
      </c>
      <c r="N35" s="50" t="str">
        <f t="shared" si="7"/>
        <v>Pilotage</v>
      </c>
      <c r="O35" s="48">
        <f>IFERROR(VLOOKUP(J35,'Tariff Master'!G:J,2,0),0)</f>
        <v>1.2330000000000001</v>
      </c>
      <c r="P35">
        <f>IFERROR(VLOOKUP(J35,'Tariff Master'!G:J,3,0),0)</f>
        <v>15750</v>
      </c>
      <c r="Q35" t="str">
        <f>IFERROR(VLOOKUP(J35,'Tariff Master'!G:J,4,0),0)</f>
        <v>USD</v>
      </c>
      <c r="S35">
        <f t="shared" si="8"/>
        <v>37000</v>
      </c>
      <c r="T35">
        <f t="shared" si="9"/>
        <v>1</v>
      </c>
      <c r="U35">
        <f t="shared" si="10"/>
        <v>75</v>
      </c>
      <c r="V35" s="55">
        <f t="shared" si="1"/>
        <v>45621</v>
      </c>
      <c r="W35" s="56">
        <f t="shared" si="2"/>
        <v>0.3421575</v>
      </c>
    </row>
    <row r="36" spans="1:23" hidden="1" x14ac:dyDescent="0.3">
      <c r="A36" t="s">
        <v>214</v>
      </c>
      <c r="B36" t="s">
        <v>99</v>
      </c>
      <c r="C36" t="s">
        <v>260</v>
      </c>
      <c r="D36" t="s">
        <v>116</v>
      </c>
      <c r="E36" t="s">
        <v>0</v>
      </c>
      <c r="F36" t="s">
        <v>279</v>
      </c>
      <c r="G36" s="31">
        <v>0.13700000000000001</v>
      </c>
      <c r="H36" s="31">
        <v>700</v>
      </c>
      <c r="J36" t="str">
        <f t="shared" si="3"/>
        <v>GPLGENERALFOREIGNPort Dues</v>
      </c>
      <c r="K36" s="50" t="str">
        <f t="shared" si="4"/>
        <v>GPL</v>
      </c>
      <c r="L36" s="50" t="str">
        <f t="shared" si="5"/>
        <v>GENERAL</v>
      </c>
      <c r="M36" s="50" t="str">
        <f t="shared" si="6"/>
        <v>FOREIGN</v>
      </c>
      <c r="N36" s="50" t="str">
        <f t="shared" si="7"/>
        <v>Port Dues</v>
      </c>
      <c r="O36" s="48">
        <f>IFERROR(VLOOKUP(J36,'Tariff Master'!G:J,2,0),0)</f>
        <v>0.13700000000000001</v>
      </c>
      <c r="P36">
        <f>IFERROR(VLOOKUP(J36,'Tariff Master'!G:J,3,0),0)</f>
        <v>700</v>
      </c>
      <c r="Q36" t="str">
        <f>IFERROR(VLOOKUP(J36,'Tariff Master'!G:J,4,0),0)</f>
        <v>USD</v>
      </c>
      <c r="S36">
        <f t="shared" si="8"/>
        <v>37000</v>
      </c>
      <c r="T36">
        <f t="shared" si="9"/>
        <v>1</v>
      </c>
      <c r="U36">
        <f t="shared" si="10"/>
        <v>75</v>
      </c>
      <c r="V36" s="55">
        <f t="shared" si="1"/>
        <v>5069</v>
      </c>
      <c r="W36" s="56">
        <f t="shared" si="2"/>
        <v>3.8017500000000003E-2</v>
      </c>
    </row>
    <row r="37" spans="1:23" hidden="1" x14ac:dyDescent="0.3">
      <c r="A37" t="s">
        <v>214</v>
      </c>
      <c r="B37" t="s">
        <v>99</v>
      </c>
      <c r="C37" t="s">
        <v>260</v>
      </c>
      <c r="D37" t="s">
        <v>116</v>
      </c>
      <c r="E37" t="s">
        <v>75</v>
      </c>
      <c r="F37" t="s">
        <v>280</v>
      </c>
      <c r="G37" s="31">
        <v>200</v>
      </c>
      <c r="H37" s="31">
        <v>0</v>
      </c>
      <c r="J37" t="str">
        <f t="shared" si="3"/>
        <v>GPLGENERALFOREIGNPort Env &amp; Safety</v>
      </c>
      <c r="K37" s="50" t="str">
        <f t="shared" si="4"/>
        <v>GPL</v>
      </c>
      <c r="L37" s="50" t="str">
        <f t="shared" si="5"/>
        <v>GENERAL</v>
      </c>
      <c r="M37" s="50" t="str">
        <f t="shared" si="6"/>
        <v>FOREIGN</v>
      </c>
      <c r="N37" s="50" t="str">
        <f t="shared" si="7"/>
        <v>Port Env &amp; Safety</v>
      </c>
      <c r="O37" s="48">
        <f>IFERROR(VLOOKUP(J37,'Tariff Master'!G:J,2,0),0)</f>
        <v>200</v>
      </c>
      <c r="P37">
        <f>IFERROR(VLOOKUP(J37,'Tariff Master'!G:J,3,0),0)</f>
        <v>0</v>
      </c>
      <c r="Q37" t="str">
        <f>IFERROR(VLOOKUP(J37,'Tariff Master'!G:J,4,0),0)</f>
        <v>USD</v>
      </c>
      <c r="S37">
        <f t="shared" si="8"/>
        <v>1</v>
      </c>
      <c r="T37">
        <f t="shared" si="9"/>
        <v>1</v>
      </c>
      <c r="U37">
        <f t="shared" si="10"/>
        <v>75</v>
      </c>
      <c r="V37" s="55">
        <f t="shared" si="1"/>
        <v>200</v>
      </c>
      <c r="W37" s="56">
        <f t="shared" si="2"/>
        <v>1.5E-3</v>
      </c>
    </row>
    <row r="38" spans="1:23" hidden="1" x14ac:dyDescent="0.3">
      <c r="A38" t="s">
        <v>214</v>
      </c>
      <c r="B38" t="s">
        <v>95</v>
      </c>
      <c r="C38" t="s">
        <v>115</v>
      </c>
      <c r="D38" t="s">
        <v>116</v>
      </c>
      <c r="E38" t="s">
        <v>7</v>
      </c>
      <c r="F38" t="s">
        <v>222</v>
      </c>
      <c r="G38" s="31">
        <v>8.5000000000000006E-3</v>
      </c>
      <c r="H38" s="31">
        <v>438.6</v>
      </c>
      <c r="J38" t="str">
        <f t="shared" si="3"/>
        <v>HAZIRACONTAINERFOREIGNBerth Hire</v>
      </c>
      <c r="K38" s="50" t="str">
        <f t="shared" si="4"/>
        <v>HAZIRA</v>
      </c>
      <c r="L38" s="50" t="str">
        <f t="shared" si="5"/>
        <v>CONTAINER</v>
      </c>
      <c r="M38" s="50" t="str">
        <f t="shared" si="6"/>
        <v>FOREIGN</v>
      </c>
      <c r="N38" s="50" t="str">
        <f t="shared" si="7"/>
        <v>Berth Hire</v>
      </c>
      <c r="O38" s="48">
        <f>IFERROR(VLOOKUP(J38,'Tariff Master'!G:J,2,0),0)</f>
        <v>8.5000000000000006E-3</v>
      </c>
      <c r="P38">
        <f>IFERROR(VLOOKUP(J38,'Tariff Master'!G:J,3,0),0)</f>
        <v>438.6</v>
      </c>
      <c r="Q38" t="str">
        <f>IFERROR(VLOOKUP(J38,'Tariff Master'!G:J,4,0),0)</f>
        <v>USD</v>
      </c>
      <c r="S38">
        <f t="shared" si="8"/>
        <v>37000</v>
      </c>
      <c r="T38">
        <f t="shared" si="9"/>
        <v>1</v>
      </c>
      <c r="U38">
        <f t="shared" si="10"/>
        <v>75</v>
      </c>
      <c r="V38" s="55">
        <f t="shared" si="1"/>
        <v>438.6</v>
      </c>
      <c r="W38" s="56">
        <f t="shared" si="2"/>
        <v>3.2894999999999999E-3</v>
      </c>
    </row>
    <row r="39" spans="1:23" hidden="1" x14ac:dyDescent="0.3">
      <c r="A39" t="s">
        <v>214</v>
      </c>
      <c r="B39" t="s">
        <v>95</v>
      </c>
      <c r="C39" t="s">
        <v>115</v>
      </c>
      <c r="D39" t="s">
        <v>116</v>
      </c>
      <c r="E39" t="s">
        <v>4</v>
      </c>
      <c r="F39" t="s">
        <v>223</v>
      </c>
      <c r="G39" s="31">
        <v>3.4720000000000001E-2</v>
      </c>
      <c r="H39" s="31">
        <v>200</v>
      </c>
      <c r="J39" t="str">
        <f t="shared" si="3"/>
        <v>HAZIRACONTAINERFOREIGNMooring</v>
      </c>
      <c r="K39" s="50" t="str">
        <f t="shared" si="4"/>
        <v>HAZIRA</v>
      </c>
      <c r="L39" s="50" t="str">
        <f t="shared" si="5"/>
        <v>CONTAINER</v>
      </c>
      <c r="M39" s="50" t="str">
        <f t="shared" si="6"/>
        <v>FOREIGN</v>
      </c>
      <c r="N39" s="50" t="str">
        <f t="shared" si="7"/>
        <v>Mooring</v>
      </c>
      <c r="O39" s="48">
        <f>IFERROR(VLOOKUP(J39,'Tariff Master'!G:J,2,0),0)</f>
        <v>3.4720000000000001E-2</v>
      </c>
      <c r="P39">
        <f>IFERROR(VLOOKUP(J39,'Tariff Master'!G:J,3,0),0)</f>
        <v>200</v>
      </c>
      <c r="Q39" t="str">
        <f>IFERROR(VLOOKUP(J39,'Tariff Master'!G:J,4,0),0)</f>
        <v>USD</v>
      </c>
      <c r="S39">
        <f t="shared" si="8"/>
        <v>37000</v>
      </c>
      <c r="T39">
        <f t="shared" si="9"/>
        <v>1</v>
      </c>
      <c r="U39">
        <f t="shared" si="10"/>
        <v>75</v>
      </c>
      <c r="V39" s="55">
        <f t="shared" si="1"/>
        <v>1284.6400000000001</v>
      </c>
      <c r="W39" s="56">
        <f t="shared" si="2"/>
        <v>9.6348000000000007E-3</v>
      </c>
    </row>
    <row r="40" spans="1:23" hidden="1" x14ac:dyDescent="0.3">
      <c r="A40" t="s">
        <v>214</v>
      </c>
      <c r="B40" t="s">
        <v>95</v>
      </c>
      <c r="C40" t="s">
        <v>115</v>
      </c>
      <c r="D40" t="s">
        <v>116</v>
      </c>
      <c r="E40" t="s">
        <v>3</v>
      </c>
      <c r="F40" t="s">
        <v>224</v>
      </c>
      <c r="G40" s="31">
        <v>0.84</v>
      </c>
      <c r="H40" s="31">
        <v>7610</v>
      </c>
      <c r="J40" t="str">
        <f t="shared" si="3"/>
        <v>HAZIRACONTAINERFOREIGNPilotage</v>
      </c>
      <c r="K40" s="50" t="str">
        <f t="shared" si="4"/>
        <v>HAZIRA</v>
      </c>
      <c r="L40" s="50" t="str">
        <f t="shared" si="5"/>
        <v>CONTAINER</v>
      </c>
      <c r="M40" s="50" t="str">
        <f t="shared" si="6"/>
        <v>FOREIGN</v>
      </c>
      <c r="N40" s="50" t="str">
        <f t="shared" si="7"/>
        <v>Pilotage</v>
      </c>
      <c r="O40" s="48">
        <f>IFERROR(VLOOKUP(J40,'Tariff Master'!G:J,2,0),0)</f>
        <v>0.84</v>
      </c>
      <c r="P40">
        <f>IFERROR(VLOOKUP(J40,'Tariff Master'!G:J,3,0),0)</f>
        <v>7610</v>
      </c>
      <c r="Q40" t="str">
        <f>IFERROR(VLOOKUP(J40,'Tariff Master'!G:J,4,0),0)</f>
        <v>USD</v>
      </c>
      <c r="S40">
        <f t="shared" si="8"/>
        <v>37000</v>
      </c>
      <c r="T40">
        <f t="shared" si="9"/>
        <v>1</v>
      </c>
      <c r="U40">
        <f t="shared" si="10"/>
        <v>75</v>
      </c>
      <c r="V40" s="55">
        <f t="shared" si="1"/>
        <v>31080</v>
      </c>
      <c r="W40" s="56">
        <f t="shared" si="2"/>
        <v>0.2331</v>
      </c>
    </row>
    <row r="41" spans="1:23" hidden="1" x14ac:dyDescent="0.3">
      <c r="A41" t="s">
        <v>214</v>
      </c>
      <c r="B41" t="s">
        <v>95</v>
      </c>
      <c r="C41" t="s">
        <v>115</v>
      </c>
      <c r="D41" t="s">
        <v>116</v>
      </c>
      <c r="E41" t="s">
        <v>0</v>
      </c>
      <c r="F41" t="s">
        <v>225</v>
      </c>
      <c r="G41" s="31">
        <v>5.2999999999999999E-2</v>
      </c>
      <c r="H41" s="31">
        <v>375</v>
      </c>
      <c r="J41" t="str">
        <f t="shared" si="3"/>
        <v>HAZIRACONTAINERFOREIGNPort Dues</v>
      </c>
      <c r="K41" s="50" t="str">
        <f t="shared" si="4"/>
        <v>HAZIRA</v>
      </c>
      <c r="L41" s="50" t="str">
        <f t="shared" si="5"/>
        <v>CONTAINER</v>
      </c>
      <c r="M41" s="50" t="str">
        <f t="shared" si="6"/>
        <v>FOREIGN</v>
      </c>
      <c r="N41" s="50" t="str">
        <f t="shared" si="7"/>
        <v>Port Dues</v>
      </c>
      <c r="O41" s="48">
        <f>IFERROR(VLOOKUP(J41,'Tariff Master'!G:J,2,0),0)</f>
        <v>5.2999999999999999E-2</v>
      </c>
      <c r="P41">
        <f>IFERROR(VLOOKUP(J41,'Tariff Master'!G:J,3,0),0)</f>
        <v>375</v>
      </c>
      <c r="Q41" t="str">
        <f>IFERROR(VLOOKUP(J41,'Tariff Master'!G:J,4,0),0)</f>
        <v>USD</v>
      </c>
      <c r="S41">
        <f t="shared" si="8"/>
        <v>37000</v>
      </c>
      <c r="T41">
        <f t="shared" si="9"/>
        <v>1</v>
      </c>
      <c r="U41">
        <f t="shared" si="10"/>
        <v>75</v>
      </c>
      <c r="V41" s="55">
        <f t="shared" si="1"/>
        <v>1961</v>
      </c>
      <c r="W41" s="56">
        <f t="shared" si="2"/>
        <v>1.47075E-2</v>
      </c>
    </row>
    <row r="42" spans="1:23" hidden="1" x14ac:dyDescent="0.3">
      <c r="A42" t="s">
        <v>214</v>
      </c>
      <c r="B42" t="s">
        <v>95</v>
      </c>
      <c r="C42" t="s">
        <v>115</v>
      </c>
      <c r="D42" t="s">
        <v>116</v>
      </c>
      <c r="E42" t="s">
        <v>75</v>
      </c>
      <c r="F42" t="s">
        <v>226</v>
      </c>
      <c r="G42" s="31">
        <v>200</v>
      </c>
      <c r="H42" s="31">
        <v>0</v>
      </c>
      <c r="J42" t="str">
        <f t="shared" si="3"/>
        <v>HAZIRACONTAINERFOREIGNPort Env &amp; Safety</v>
      </c>
      <c r="K42" s="50" t="str">
        <f t="shared" si="4"/>
        <v>HAZIRA</v>
      </c>
      <c r="L42" s="50" t="str">
        <f t="shared" si="5"/>
        <v>CONTAINER</v>
      </c>
      <c r="M42" s="50" t="str">
        <f t="shared" si="6"/>
        <v>FOREIGN</v>
      </c>
      <c r="N42" s="50" t="str">
        <f t="shared" si="7"/>
        <v>Port Env &amp; Safety</v>
      </c>
      <c r="O42" s="48">
        <f>IFERROR(VLOOKUP(J42,'Tariff Master'!G:J,2,0),0)</f>
        <v>200</v>
      </c>
      <c r="P42">
        <f>IFERROR(VLOOKUP(J42,'Tariff Master'!G:J,3,0),0)</f>
        <v>0</v>
      </c>
      <c r="Q42" t="str">
        <f>IFERROR(VLOOKUP(J42,'Tariff Master'!G:J,4,0),0)</f>
        <v>USD</v>
      </c>
      <c r="S42">
        <f t="shared" si="8"/>
        <v>1</v>
      </c>
      <c r="T42">
        <f t="shared" si="9"/>
        <v>1</v>
      </c>
      <c r="U42">
        <f t="shared" si="10"/>
        <v>75</v>
      </c>
      <c r="V42" s="55">
        <f t="shared" si="1"/>
        <v>200</v>
      </c>
      <c r="W42" s="56">
        <f t="shared" si="2"/>
        <v>1.5E-3</v>
      </c>
    </row>
    <row r="43" spans="1:23" hidden="1" x14ac:dyDescent="0.3">
      <c r="A43" t="s">
        <v>214</v>
      </c>
      <c r="B43" t="s">
        <v>95</v>
      </c>
      <c r="C43" t="s">
        <v>164</v>
      </c>
      <c r="D43" t="s">
        <v>116</v>
      </c>
      <c r="E43" t="s">
        <v>3</v>
      </c>
      <c r="F43" t="s">
        <v>227</v>
      </c>
      <c r="G43" s="31">
        <v>0.59550000000000003</v>
      </c>
      <c r="H43" s="31">
        <v>0</v>
      </c>
      <c r="J43" t="str">
        <f t="shared" si="3"/>
        <v>HAZIRALNGFOREIGNPilotage</v>
      </c>
      <c r="K43" s="50" t="str">
        <f t="shared" si="4"/>
        <v>HAZIRA</v>
      </c>
      <c r="L43" s="50" t="str">
        <f t="shared" si="5"/>
        <v>LNG</v>
      </c>
      <c r="M43" s="50" t="str">
        <f t="shared" si="6"/>
        <v>FOREIGN</v>
      </c>
      <c r="N43" s="50" t="str">
        <f t="shared" si="7"/>
        <v>Pilotage</v>
      </c>
      <c r="O43" s="48">
        <f>IFERROR(VLOOKUP(J43,'Tariff Master'!G:J,2,0),0)</f>
        <v>0.59550000000000003</v>
      </c>
      <c r="P43">
        <f>IFERROR(VLOOKUP(J43,'Tariff Master'!G:J,3,0),0)</f>
        <v>0</v>
      </c>
      <c r="Q43" t="str">
        <f>IFERROR(VLOOKUP(J43,'Tariff Master'!G:J,4,0),0)</f>
        <v>USD</v>
      </c>
      <c r="S43">
        <f t="shared" si="8"/>
        <v>37000</v>
      </c>
      <c r="T43">
        <f t="shared" si="9"/>
        <v>1</v>
      </c>
      <c r="U43">
        <f t="shared" si="10"/>
        <v>75</v>
      </c>
      <c r="V43" s="55">
        <f t="shared" si="1"/>
        <v>22033.5</v>
      </c>
      <c r="W43" s="56">
        <f t="shared" si="2"/>
        <v>0.16525124999999999</v>
      </c>
    </row>
    <row r="44" spans="1:23" hidden="1" x14ac:dyDescent="0.3">
      <c r="A44" t="s">
        <v>214</v>
      </c>
      <c r="B44" t="s">
        <v>95</v>
      </c>
      <c r="C44" t="s">
        <v>164</v>
      </c>
      <c r="D44" t="s">
        <v>116</v>
      </c>
      <c r="E44" t="s">
        <v>0</v>
      </c>
      <c r="F44" t="s">
        <v>228</v>
      </c>
      <c r="G44" s="31">
        <v>0.34539999999999998</v>
      </c>
      <c r="H44" s="31">
        <v>0</v>
      </c>
      <c r="J44" t="str">
        <f t="shared" si="3"/>
        <v>HAZIRALNGFOREIGNPort Dues</v>
      </c>
      <c r="K44" s="50" t="str">
        <f t="shared" si="4"/>
        <v>HAZIRA</v>
      </c>
      <c r="L44" s="50" t="str">
        <f t="shared" si="5"/>
        <v>LNG</v>
      </c>
      <c r="M44" s="50" t="str">
        <f t="shared" si="6"/>
        <v>FOREIGN</v>
      </c>
      <c r="N44" s="50" t="str">
        <f t="shared" si="7"/>
        <v>Port Dues</v>
      </c>
      <c r="O44" s="48">
        <f>IFERROR(VLOOKUP(J44,'Tariff Master'!G:J,2,0),0)</f>
        <v>0.34539999999999998</v>
      </c>
      <c r="P44">
        <f>IFERROR(VLOOKUP(J44,'Tariff Master'!G:J,3,0),0)</f>
        <v>0</v>
      </c>
      <c r="Q44" t="str">
        <f>IFERROR(VLOOKUP(J44,'Tariff Master'!G:J,4,0),0)</f>
        <v>USD</v>
      </c>
      <c r="S44">
        <f t="shared" si="8"/>
        <v>37000</v>
      </c>
      <c r="T44">
        <f t="shared" si="9"/>
        <v>1</v>
      </c>
      <c r="U44">
        <f t="shared" si="10"/>
        <v>75</v>
      </c>
      <c r="V44" s="55">
        <f t="shared" si="1"/>
        <v>12779.8</v>
      </c>
      <c r="W44" s="56">
        <f t="shared" si="2"/>
        <v>9.5848500000000003E-2</v>
      </c>
    </row>
    <row r="45" spans="1:23" hidden="1" x14ac:dyDescent="0.3">
      <c r="A45" t="s">
        <v>214</v>
      </c>
      <c r="B45" t="s">
        <v>95</v>
      </c>
      <c r="C45" t="s">
        <v>165</v>
      </c>
      <c r="D45" t="s">
        <v>116</v>
      </c>
      <c r="E45" t="s">
        <v>7</v>
      </c>
      <c r="F45" t="s">
        <v>229</v>
      </c>
      <c r="G45" s="31">
        <v>8.5000000000000006E-3</v>
      </c>
      <c r="H45" s="31">
        <v>438.6</v>
      </c>
      <c r="J45" t="str">
        <f t="shared" si="3"/>
        <v>HAZIRATANKERFOREIGNBerth Hire</v>
      </c>
      <c r="K45" s="50" t="str">
        <f t="shared" si="4"/>
        <v>HAZIRA</v>
      </c>
      <c r="L45" s="50" t="str">
        <f t="shared" si="5"/>
        <v>TANKER</v>
      </c>
      <c r="M45" s="50" t="str">
        <f t="shared" si="6"/>
        <v>FOREIGN</v>
      </c>
      <c r="N45" s="50" t="str">
        <f t="shared" si="7"/>
        <v>Berth Hire</v>
      </c>
      <c r="O45" s="48">
        <f>IFERROR(VLOOKUP(J45,'Tariff Master'!G:J,2,0),0)</f>
        <v>8.5000000000000006E-3</v>
      </c>
      <c r="P45">
        <f>IFERROR(VLOOKUP(J45,'Tariff Master'!G:J,3,0),0)</f>
        <v>438.6</v>
      </c>
      <c r="Q45" t="str">
        <f>IFERROR(VLOOKUP(J45,'Tariff Master'!G:J,4,0),0)</f>
        <v>USD</v>
      </c>
      <c r="S45">
        <f t="shared" si="8"/>
        <v>37000</v>
      </c>
      <c r="T45">
        <f t="shared" si="9"/>
        <v>1</v>
      </c>
      <c r="U45">
        <f t="shared" si="10"/>
        <v>75</v>
      </c>
      <c r="V45" s="55">
        <f t="shared" ref="V45:V76" si="11">MAX(S45*O45*IF(N45="Berth Hire",T45,1),P45)</f>
        <v>438.6</v>
      </c>
      <c r="W45" s="56">
        <f t="shared" ref="W45:W76" si="12">V45*U45/10^7</f>
        <v>3.2894999999999999E-3</v>
      </c>
    </row>
    <row r="46" spans="1:23" hidden="1" x14ac:dyDescent="0.3">
      <c r="A46" t="s">
        <v>214</v>
      </c>
      <c r="B46" t="s">
        <v>95</v>
      </c>
      <c r="C46" t="s">
        <v>165</v>
      </c>
      <c r="D46" t="s">
        <v>116</v>
      </c>
      <c r="E46" t="s">
        <v>4</v>
      </c>
      <c r="F46" t="s">
        <v>230</v>
      </c>
      <c r="G46" s="31">
        <v>3.4720000000000001E-2</v>
      </c>
      <c r="H46" s="31">
        <v>200</v>
      </c>
      <c r="J46" t="str">
        <f t="shared" si="3"/>
        <v>HAZIRATANKERFOREIGNMooring</v>
      </c>
      <c r="K46" s="50" t="str">
        <f t="shared" si="4"/>
        <v>HAZIRA</v>
      </c>
      <c r="L46" s="50" t="str">
        <f t="shared" si="5"/>
        <v>TANKER</v>
      </c>
      <c r="M46" s="50" t="str">
        <f t="shared" si="6"/>
        <v>FOREIGN</v>
      </c>
      <c r="N46" s="50" t="str">
        <f t="shared" si="7"/>
        <v>Mooring</v>
      </c>
      <c r="O46" s="48">
        <f>IFERROR(VLOOKUP(J46,'Tariff Master'!G:J,2,0),0)</f>
        <v>3.4720000000000001E-2</v>
      </c>
      <c r="P46">
        <f>IFERROR(VLOOKUP(J46,'Tariff Master'!G:J,3,0),0)</f>
        <v>200</v>
      </c>
      <c r="Q46" t="str">
        <f>IFERROR(VLOOKUP(J46,'Tariff Master'!G:J,4,0),0)</f>
        <v>USD</v>
      </c>
      <c r="S46">
        <f t="shared" si="8"/>
        <v>37000</v>
      </c>
      <c r="T46">
        <f t="shared" si="9"/>
        <v>1</v>
      </c>
      <c r="U46">
        <f t="shared" si="10"/>
        <v>75</v>
      </c>
      <c r="V46" s="55">
        <f t="shared" si="11"/>
        <v>1284.6400000000001</v>
      </c>
      <c r="W46" s="56">
        <f t="shared" si="12"/>
        <v>9.6348000000000007E-3</v>
      </c>
    </row>
    <row r="47" spans="1:23" hidden="1" x14ac:dyDescent="0.3">
      <c r="A47" t="s">
        <v>214</v>
      </c>
      <c r="B47" t="s">
        <v>95</v>
      </c>
      <c r="C47" t="s">
        <v>165</v>
      </c>
      <c r="D47" t="s">
        <v>116</v>
      </c>
      <c r="E47" t="s">
        <v>3</v>
      </c>
      <c r="F47" t="s">
        <v>231</v>
      </c>
      <c r="G47" s="31">
        <v>1.07</v>
      </c>
      <c r="H47" s="31">
        <v>16275</v>
      </c>
      <c r="J47" t="str">
        <f t="shared" si="3"/>
        <v>HAZIRATANKERFOREIGNPilotage</v>
      </c>
      <c r="K47" s="50" t="str">
        <f t="shared" si="4"/>
        <v>HAZIRA</v>
      </c>
      <c r="L47" s="50" t="str">
        <f t="shared" si="5"/>
        <v>TANKER</v>
      </c>
      <c r="M47" s="50" t="str">
        <f t="shared" si="6"/>
        <v>FOREIGN</v>
      </c>
      <c r="N47" s="50" t="str">
        <f t="shared" si="7"/>
        <v>Pilotage</v>
      </c>
      <c r="O47" s="48">
        <f>IFERROR(VLOOKUP(J47,'Tariff Master'!G:J,2,0),0)</f>
        <v>1.07</v>
      </c>
      <c r="P47">
        <f>IFERROR(VLOOKUP(J47,'Tariff Master'!G:J,3,0),0)</f>
        <v>16275</v>
      </c>
      <c r="Q47" t="str">
        <f>IFERROR(VLOOKUP(J47,'Tariff Master'!G:J,4,0),0)</f>
        <v>USD</v>
      </c>
      <c r="S47">
        <f t="shared" si="8"/>
        <v>37000</v>
      </c>
      <c r="T47">
        <f t="shared" si="9"/>
        <v>1</v>
      </c>
      <c r="U47">
        <f t="shared" si="10"/>
        <v>75</v>
      </c>
      <c r="V47" s="55">
        <f t="shared" si="11"/>
        <v>39590</v>
      </c>
      <c r="W47" s="56">
        <f t="shared" si="12"/>
        <v>0.29692499999999999</v>
      </c>
    </row>
    <row r="48" spans="1:23" hidden="1" x14ac:dyDescent="0.3">
      <c r="A48" t="s">
        <v>214</v>
      </c>
      <c r="B48" t="s">
        <v>95</v>
      </c>
      <c r="C48" t="s">
        <v>165</v>
      </c>
      <c r="D48" t="s">
        <v>116</v>
      </c>
      <c r="E48" t="s">
        <v>0</v>
      </c>
      <c r="F48" t="s">
        <v>232</v>
      </c>
      <c r="G48" s="31">
        <v>5.2999999999999999E-2</v>
      </c>
      <c r="H48" s="31">
        <v>375</v>
      </c>
      <c r="J48" t="str">
        <f t="shared" si="3"/>
        <v>HAZIRATANKERFOREIGNPort Dues</v>
      </c>
      <c r="K48" s="50" t="str">
        <f t="shared" si="4"/>
        <v>HAZIRA</v>
      </c>
      <c r="L48" s="50" t="str">
        <f t="shared" si="5"/>
        <v>TANKER</v>
      </c>
      <c r="M48" s="50" t="str">
        <f t="shared" si="6"/>
        <v>FOREIGN</v>
      </c>
      <c r="N48" s="50" t="str">
        <f t="shared" si="7"/>
        <v>Port Dues</v>
      </c>
      <c r="O48" s="48">
        <f>IFERROR(VLOOKUP(J48,'Tariff Master'!G:J,2,0),0)</f>
        <v>5.2999999999999999E-2</v>
      </c>
      <c r="P48">
        <f>IFERROR(VLOOKUP(J48,'Tariff Master'!G:J,3,0),0)</f>
        <v>375</v>
      </c>
      <c r="Q48" t="str">
        <f>IFERROR(VLOOKUP(J48,'Tariff Master'!G:J,4,0),0)</f>
        <v>USD</v>
      </c>
      <c r="S48">
        <f t="shared" si="8"/>
        <v>37000</v>
      </c>
      <c r="T48">
        <f t="shared" si="9"/>
        <v>1</v>
      </c>
      <c r="U48">
        <f t="shared" si="10"/>
        <v>75</v>
      </c>
      <c r="V48" s="55">
        <f t="shared" si="11"/>
        <v>1961</v>
      </c>
      <c r="W48" s="56">
        <f t="shared" si="12"/>
        <v>1.47075E-2</v>
      </c>
    </row>
    <row r="49" spans="1:23" hidden="1" x14ac:dyDescent="0.3">
      <c r="A49" t="s">
        <v>214</v>
      </c>
      <c r="B49" t="s">
        <v>95</v>
      </c>
      <c r="C49" t="s">
        <v>165</v>
      </c>
      <c r="D49" t="s">
        <v>116</v>
      </c>
      <c r="E49" t="s">
        <v>75</v>
      </c>
      <c r="F49" t="s">
        <v>233</v>
      </c>
      <c r="G49" s="31">
        <v>200</v>
      </c>
      <c r="H49" s="31">
        <v>0</v>
      </c>
      <c r="J49" t="str">
        <f t="shared" si="3"/>
        <v>HAZIRATANKERFOREIGNPort Env &amp; Safety</v>
      </c>
      <c r="K49" s="50" t="str">
        <f t="shared" si="4"/>
        <v>HAZIRA</v>
      </c>
      <c r="L49" s="50" t="str">
        <f t="shared" si="5"/>
        <v>TANKER</v>
      </c>
      <c r="M49" s="50" t="str">
        <f t="shared" si="6"/>
        <v>FOREIGN</v>
      </c>
      <c r="N49" s="50" t="str">
        <f t="shared" si="7"/>
        <v>Port Env &amp; Safety</v>
      </c>
      <c r="O49" s="48">
        <f>IFERROR(VLOOKUP(J49,'Tariff Master'!G:J,2,0),0)</f>
        <v>200</v>
      </c>
      <c r="P49">
        <f>IFERROR(VLOOKUP(J49,'Tariff Master'!G:J,3,0),0)</f>
        <v>0</v>
      </c>
      <c r="Q49" t="str">
        <f>IFERROR(VLOOKUP(J49,'Tariff Master'!G:J,4,0),0)</f>
        <v>USD</v>
      </c>
      <c r="S49">
        <f t="shared" si="8"/>
        <v>1</v>
      </c>
      <c r="T49">
        <f t="shared" si="9"/>
        <v>1</v>
      </c>
      <c r="U49">
        <f t="shared" si="10"/>
        <v>75</v>
      </c>
      <c r="V49" s="55">
        <f t="shared" si="11"/>
        <v>200</v>
      </c>
      <c r="W49" s="56">
        <f t="shared" si="12"/>
        <v>1.5E-3</v>
      </c>
    </row>
    <row r="50" spans="1:23" hidden="1" x14ac:dyDescent="0.3">
      <c r="A50" t="s">
        <v>214</v>
      </c>
      <c r="B50" t="s">
        <v>95</v>
      </c>
      <c r="C50" t="s">
        <v>260</v>
      </c>
      <c r="D50" t="s">
        <v>116</v>
      </c>
      <c r="E50" t="s">
        <v>7</v>
      </c>
      <c r="F50" t="s">
        <v>281</v>
      </c>
      <c r="G50" s="31">
        <v>8.5000000000000006E-3</v>
      </c>
      <c r="H50" s="31">
        <v>438.6</v>
      </c>
      <c r="J50" t="str">
        <f t="shared" si="3"/>
        <v>HAZIRAGENERALFOREIGNBerth Hire</v>
      </c>
      <c r="K50" s="50" t="str">
        <f t="shared" si="4"/>
        <v>HAZIRA</v>
      </c>
      <c r="L50" s="50" t="str">
        <f t="shared" si="5"/>
        <v>GENERAL</v>
      </c>
      <c r="M50" s="50" t="str">
        <f t="shared" si="6"/>
        <v>FOREIGN</v>
      </c>
      <c r="N50" s="50" t="str">
        <f t="shared" si="7"/>
        <v>Berth Hire</v>
      </c>
      <c r="O50" s="48">
        <f>IFERROR(VLOOKUP(J50,'Tariff Master'!G:J,2,0),0)</f>
        <v>8.5000000000000006E-3</v>
      </c>
      <c r="P50">
        <f>IFERROR(VLOOKUP(J50,'Tariff Master'!G:J,3,0),0)</f>
        <v>438.6</v>
      </c>
      <c r="Q50" t="str">
        <f>IFERROR(VLOOKUP(J50,'Tariff Master'!G:J,4,0),0)</f>
        <v>USD</v>
      </c>
      <c r="S50">
        <f t="shared" si="8"/>
        <v>37000</v>
      </c>
      <c r="T50">
        <f t="shared" si="9"/>
        <v>1</v>
      </c>
      <c r="U50">
        <f t="shared" si="10"/>
        <v>75</v>
      </c>
      <c r="V50" s="55">
        <f t="shared" si="11"/>
        <v>438.6</v>
      </c>
      <c r="W50" s="56">
        <f t="shared" si="12"/>
        <v>3.2894999999999999E-3</v>
      </c>
    </row>
    <row r="51" spans="1:23" hidden="1" x14ac:dyDescent="0.3">
      <c r="A51" t="s">
        <v>214</v>
      </c>
      <c r="B51" t="s">
        <v>95</v>
      </c>
      <c r="C51" t="s">
        <v>260</v>
      </c>
      <c r="D51" t="s">
        <v>116</v>
      </c>
      <c r="E51" t="s">
        <v>4</v>
      </c>
      <c r="F51" t="s">
        <v>282</v>
      </c>
      <c r="G51" s="31">
        <v>3.4720000000000001E-2</v>
      </c>
      <c r="H51" s="31">
        <v>200</v>
      </c>
      <c r="J51" t="str">
        <f t="shared" si="3"/>
        <v>HAZIRAGENERALFOREIGNMooring</v>
      </c>
      <c r="K51" s="50" t="str">
        <f t="shared" si="4"/>
        <v>HAZIRA</v>
      </c>
      <c r="L51" s="50" t="str">
        <f t="shared" si="5"/>
        <v>GENERAL</v>
      </c>
      <c r="M51" s="50" t="str">
        <f t="shared" si="6"/>
        <v>FOREIGN</v>
      </c>
      <c r="N51" s="50" t="str">
        <f t="shared" si="7"/>
        <v>Mooring</v>
      </c>
      <c r="O51" s="48">
        <f>IFERROR(VLOOKUP(J51,'Tariff Master'!G:J,2,0),0)</f>
        <v>3.4720000000000001E-2</v>
      </c>
      <c r="P51">
        <f>IFERROR(VLOOKUP(J51,'Tariff Master'!G:J,3,0),0)</f>
        <v>200</v>
      </c>
      <c r="Q51" t="str">
        <f>IFERROR(VLOOKUP(J51,'Tariff Master'!G:J,4,0),0)</f>
        <v>USD</v>
      </c>
      <c r="S51">
        <f t="shared" si="8"/>
        <v>37000</v>
      </c>
      <c r="T51">
        <f t="shared" si="9"/>
        <v>1</v>
      </c>
      <c r="U51">
        <f t="shared" si="10"/>
        <v>75</v>
      </c>
      <c r="V51" s="55">
        <f t="shared" si="11"/>
        <v>1284.6400000000001</v>
      </c>
      <c r="W51" s="56">
        <f t="shared" si="12"/>
        <v>9.6348000000000007E-3</v>
      </c>
    </row>
    <row r="52" spans="1:23" hidden="1" x14ac:dyDescent="0.3">
      <c r="A52" t="s">
        <v>214</v>
      </c>
      <c r="B52" t="s">
        <v>95</v>
      </c>
      <c r="C52" t="s">
        <v>260</v>
      </c>
      <c r="D52" t="s">
        <v>116</v>
      </c>
      <c r="E52" t="s">
        <v>3</v>
      </c>
      <c r="F52" t="s">
        <v>283</v>
      </c>
      <c r="G52" s="31">
        <v>1.01</v>
      </c>
      <c r="H52" s="31">
        <v>16275</v>
      </c>
      <c r="J52" t="str">
        <f t="shared" si="3"/>
        <v>HAZIRAGENERALFOREIGNPilotage</v>
      </c>
      <c r="K52" s="50" t="str">
        <f t="shared" si="4"/>
        <v>HAZIRA</v>
      </c>
      <c r="L52" s="50" t="str">
        <f t="shared" si="5"/>
        <v>GENERAL</v>
      </c>
      <c r="M52" s="50" t="str">
        <f t="shared" si="6"/>
        <v>FOREIGN</v>
      </c>
      <c r="N52" s="50" t="str">
        <f t="shared" si="7"/>
        <v>Pilotage</v>
      </c>
      <c r="O52" s="48">
        <f>IFERROR(VLOOKUP(J52,'Tariff Master'!G:J,2,0),0)</f>
        <v>1.01</v>
      </c>
      <c r="P52">
        <f>IFERROR(VLOOKUP(J52,'Tariff Master'!G:J,3,0),0)</f>
        <v>16275</v>
      </c>
      <c r="Q52" t="str">
        <f>IFERROR(VLOOKUP(J52,'Tariff Master'!G:J,4,0),0)</f>
        <v>USD</v>
      </c>
      <c r="S52">
        <f t="shared" si="8"/>
        <v>37000</v>
      </c>
      <c r="T52">
        <f t="shared" si="9"/>
        <v>1</v>
      </c>
      <c r="U52">
        <f t="shared" si="10"/>
        <v>75</v>
      </c>
      <c r="V52" s="55">
        <f t="shared" si="11"/>
        <v>37370</v>
      </c>
      <c r="W52" s="56">
        <f t="shared" si="12"/>
        <v>0.280275</v>
      </c>
    </row>
    <row r="53" spans="1:23" hidden="1" x14ac:dyDescent="0.3">
      <c r="A53" t="s">
        <v>214</v>
      </c>
      <c r="B53" t="s">
        <v>95</v>
      </c>
      <c r="C53" t="s">
        <v>260</v>
      </c>
      <c r="D53" t="s">
        <v>116</v>
      </c>
      <c r="E53" t="s">
        <v>0</v>
      </c>
      <c r="F53" t="s">
        <v>284</v>
      </c>
      <c r="G53" s="31">
        <v>5.2999999999999999E-2</v>
      </c>
      <c r="H53" s="31">
        <v>375</v>
      </c>
      <c r="J53" t="str">
        <f t="shared" ref="J53:J108" si="13">K53&amp;L53&amp;M53&amp;N53</f>
        <v>HAZIRAGENERALFOREIGNPort Dues</v>
      </c>
      <c r="K53" s="50" t="str">
        <f t="shared" ref="K53:K108" si="14">B53</f>
        <v>HAZIRA</v>
      </c>
      <c r="L53" s="50" t="str">
        <f t="shared" ref="L53:L108" si="15">C53</f>
        <v>GENERAL</v>
      </c>
      <c r="M53" s="50" t="str">
        <f t="shared" ref="M53:M108" si="16">D53</f>
        <v>FOREIGN</v>
      </c>
      <c r="N53" s="50" t="str">
        <f t="shared" ref="N53:N108" si="17">E53</f>
        <v>Port Dues</v>
      </c>
      <c r="O53" s="48">
        <f>IFERROR(VLOOKUP(J53,'Tariff Master'!G:J,2,0),0)</f>
        <v>5.2999999999999999E-2</v>
      </c>
      <c r="P53">
        <f>IFERROR(VLOOKUP(J53,'Tariff Master'!G:J,3,0),0)</f>
        <v>375</v>
      </c>
      <c r="Q53" t="str">
        <f>IFERROR(VLOOKUP(J53,'Tariff Master'!G:J,4,0),0)</f>
        <v>USD</v>
      </c>
      <c r="S53">
        <f t="shared" si="8"/>
        <v>37000</v>
      </c>
      <c r="T53">
        <f t="shared" si="9"/>
        <v>1</v>
      </c>
      <c r="U53">
        <f t="shared" si="10"/>
        <v>75</v>
      </c>
      <c r="V53" s="55">
        <f t="shared" si="11"/>
        <v>1961</v>
      </c>
      <c r="W53" s="56">
        <f t="shared" si="12"/>
        <v>1.47075E-2</v>
      </c>
    </row>
    <row r="54" spans="1:23" hidden="1" x14ac:dyDescent="0.3">
      <c r="A54" t="s">
        <v>214</v>
      </c>
      <c r="B54" t="s">
        <v>95</v>
      </c>
      <c r="C54" t="s">
        <v>260</v>
      </c>
      <c r="D54" t="s">
        <v>116</v>
      </c>
      <c r="E54" t="s">
        <v>75</v>
      </c>
      <c r="F54" t="s">
        <v>285</v>
      </c>
      <c r="G54" s="31">
        <v>200</v>
      </c>
      <c r="H54" s="31">
        <v>0</v>
      </c>
      <c r="J54" t="str">
        <f t="shared" si="13"/>
        <v>HAZIRAGENERALFOREIGNPort Env &amp; Safety</v>
      </c>
      <c r="K54" s="50" t="str">
        <f t="shared" si="14"/>
        <v>HAZIRA</v>
      </c>
      <c r="L54" s="50" t="str">
        <f t="shared" si="15"/>
        <v>GENERAL</v>
      </c>
      <c r="M54" s="50" t="str">
        <f t="shared" si="16"/>
        <v>FOREIGN</v>
      </c>
      <c r="N54" s="50" t="str">
        <f t="shared" si="17"/>
        <v>Port Env &amp; Safety</v>
      </c>
      <c r="O54" s="48">
        <f>IFERROR(VLOOKUP(J54,'Tariff Master'!G:J,2,0),0)</f>
        <v>200</v>
      </c>
      <c r="P54">
        <f>IFERROR(VLOOKUP(J54,'Tariff Master'!G:J,3,0),0)</f>
        <v>0</v>
      </c>
      <c r="Q54" t="str">
        <f>IFERROR(VLOOKUP(J54,'Tariff Master'!G:J,4,0),0)</f>
        <v>USD</v>
      </c>
      <c r="S54">
        <f t="shared" si="8"/>
        <v>1</v>
      </c>
      <c r="T54">
        <f t="shared" si="9"/>
        <v>1</v>
      </c>
      <c r="U54">
        <f t="shared" si="10"/>
        <v>75</v>
      </c>
      <c r="V54" s="55">
        <f t="shared" si="11"/>
        <v>200</v>
      </c>
      <c r="W54" s="56">
        <f t="shared" si="12"/>
        <v>1.5E-3</v>
      </c>
    </row>
    <row r="55" spans="1:23" hidden="1" x14ac:dyDescent="0.3">
      <c r="A55" t="s">
        <v>214</v>
      </c>
      <c r="B55" t="s">
        <v>97</v>
      </c>
      <c r="C55" t="s">
        <v>115</v>
      </c>
      <c r="D55" t="s">
        <v>163</v>
      </c>
      <c r="E55" t="s">
        <v>7</v>
      </c>
      <c r="F55" t="s">
        <v>307</v>
      </c>
      <c r="G55" s="31">
        <v>0.1</v>
      </c>
      <c r="H55" s="31">
        <v>12200</v>
      </c>
      <c r="J55" t="str">
        <f t="shared" si="13"/>
        <v>KATTUPALLICONTAINERCOASTALBerth Hire</v>
      </c>
      <c r="K55" s="50" t="str">
        <f t="shared" si="14"/>
        <v>KATTUPALLI</v>
      </c>
      <c r="L55" s="50" t="str">
        <f t="shared" si="15"/>
        <v>CONTAINER</v>
      </c>
      <c r="M55" s="50" t="str">
        <f t="shared" si="16"/>
        <v>COASTAL</v>
      </c>
      <c r="N55" s="50" t="str">
        <f t="shared" si="17"/>
        <v>Berth Hire</v>
      </c>
      <c r="O55" s="48">
        <f>IFERROR(VLOOKUP(J55,'Tariff Master'!G:J,2,0),0)</f>
        <v>0.1</v>
      </c>
      <c r="P55">
        <f>IFERROR(VLOOKUP(J55,'Tariff Master'!G:J,3,0),0)</f>
        <v>12200</v>
      </c>
      <c r="Q55" t="str">
        <f>IFERROR(VLOOKUP(J55,'Tariff Master'!G:J,4,0),0)</f>
        <v>INR</v>
      </c>
      <c r="S55">
        <f t="shared" si="8"/>
        <v>37000</v>
      </c>
      <c r="T55">
        <f t="shared" si="9"/>
        <v>1</v>
      </c>
      <c r="U55">
        <f t="shared" si="10"/>
        <v>75</v>
      </c>
      <c r="V55" s="55">
        <f t="shared" si="11"/>
        <v>12200</v>
      </c>
      <c r="W55" s="56">
        <f t="shared" si="12"/>
        <v>9.1499999999999998E-2</v>
      </c>
    </row>
    <row r="56" spans="1:23" hidden="1" x14ac:dyDescent="0.3">
      <c r="A56" t="s">
        <v>214</v>
      </c>
      <c r="B56" t="s">
        <v>97</v>
      </c>
      <c r="C56" t="s">
        <v>115</v>
      </c>
      <c r="D56" t="s">
        <v>163</v>
      </c>
      <c r="E56" t="s">
        <v>4</v>
      </c>
      <c r="F56" t="s">
        <v>308</v>
      </c>
      <c r="G56" s="31">
        <v>3.5000000000000003E-2</v>
      </c>
      <c r="H56" s="31">
        <v>200</v>
      </c>
      <c r="J56" t="str">
        <f t="shared" si="13"/>
        <v>KATTUPALLICONTAINERCOASTALMooring</v>
      </c>
      <c r="K56" s="50" t="str">
        <f t="shared" si="14"/>
        <v>KATTUPALLI</v>
      </c>
      <c r="L56" s="50" t="str">
        <f t="shared" si="15"/>
        <v>CONTAINER</v>
      </c>
      <c r="M56" s="50" t="str">
        <f t="shared" si="16"/>
        <v>COASTAL</v>
      </c>
      <c r="N56" s="50" t="str">
        <f t="shared" si="17"/>
        <v>Mooring</v>
      </c>
      <c r="O56" s="48">
        <f>IFERROR(VLOOKUP(J56,'Tariff Master'!G:J,2,0),0)</f>
        <v>3.5000000000000003E-2</v>
      </c>
      <c r="P56">
        <f>IFERROR(VLOOKUP(J56,'Tariff Master'!G:J,3,0),0)</f>
        <v>200</v>
      </c>
      <c r="Q56" t="str">
        <f>IFERROR(VLOOKUP(J56,'Tariff Master'!G:J,4,0),0)</f>
        <v>USD</v>
      </c>
      <c r="S56">
        <f t="shared" si="8"/>
        <v>37000</v>
      </c>
      <c r="T56">
        <f t="shared" si="9"/>
        <v>1</v>
      </c>
      <c r="U56">
        <f t="shared" si="10"/>
        <v>75</v>
      </c>
      <c r="V56" s="55">
        <f t="shared" si="11"/>
        <v>1295.0000000000002</v>
      </c>
      <c r="W56" s="56">
        <f t="shared" si="12"/>
        <v>9.7125000000000006E-3</v>
      </c>
    </row>
    <row r="57" spans="1:23" hidden="1" x14ac:dyDescent="0.3">
      <c r="A57" t="s">
        <v>214</v>
      </c>
      <c r="B57" t="s">
        <v>97</v>
      </c>
      <c r="C57" t="s">
        <v>115</v>
      </c>
      <c r="D57" t="s">
        <v>163</v>
      </c>
      <c r="E57" t="s">
        <v>3</v>
      </c>
      <c r="F57" t="s">
        <v>309</v>
      </c>
      <c r="G57" s="31">
        <v>17.079999999999998</v>
      </c>
      <c r="H57" s="31">
        <v>36600</v>
      </c>
      <c r="J57" t="str">
        <f t="shared" si="13"/>
        <v>KATTUPALLICONTAINERCOASTALPilotage</v>
      </c>
      <c r="K57" s="50" t="str">
        <f t="shared" si="14"/>
        <v>KATTUPALLI</v>
      </c>
      <c r="L57" s="50" t="str">
        <f t="shared" si="15"/>
        <v>CONTAINER</v>
      </c>
      <c r="M57" s="50" t="str">
        <f t="shared" si="16"/>
        <v>COASTAL</v>
      </c>
      <c r="N57" s="50" t="str">
        <f t="shared" si="17"/>
        <v>Pilotage</v>
      </c>
      <c r="O57" s="48">
        <f>IFERROR(VLOOKUP(J57,'Tariff Master'!G:J,2,0),0)</f>
        <v>17.079999999999998</v>
      </c>
      <c r="P57">
        <f>IFERROR(VLOOKUP(J57,'Tariff Master'!G:J,3,0),0)</f>
        <v>36600</v>
      </c>
      <c r="Q57" t="str">
        <f>IFERROR(VLOOKUP(J57,'Tariff Master'!G:J,4,0),0)</f>
        <v>INR</v>
      </c>
      <c r="S57">
        <f t="shared" si="8"/>
        <v>37000</v>
      </c>
      <c r="T57">
        <f t="shared" si="9"/>
        <v>1</v>
      </c>
      <c r="U57">
        <f t="shared" si="10"/>
        <v>75</v>
      </c>
      <c r="V57" s="55">
        <f t="shared" si="11"/>
        <v>631959.99999999988</v>
      </c>
      <c r="W57" s="56">
        <f t="shared" si="12"/>
        <v>4.7396999999999991</v>
      </c>
    </row>
    <row r="58" spans="1:23" hidden="1" x14ac:dyDescent="0.3">
      <c r="A58" t="s">
        <v>214</v>
      </c>
      <c r="B58" t="s">
        <v>97</v>
      </c>
      <c r="C58" t="s">
        <v>115</v>
      </c>
      <c r="D58" t="s">
        <v>163</v>
      </c>
      <c r="E58" t="s">
        <v>75</v>
      </c>
      <c r="F58" t="s">
        <v>310</v>
      </c>
      <c r="G58" s="31">
        <v>200</v>
      </c>
      <c r="H58" s="31">
        <v>0</v>
      </c>
      <c r="J58" t="str">
        <f t="shared" si="13"/>
        <v>KATTUPALLICONTAINERCOASTALPort Env &amp; Safety</v>
      </c>
      <c r="K58" s="50" t="str">
        <f t="shared" si="14"/>
        <v>KATTUPALLI</v>
      </c>
      <c r="L58" s="50" t="str">
        <f t="shared" si="15"/>
        <v>CONTAINER</v>
      </c>
      <c r="M58" s="50" t="str">
        <f t="shared" si="16"/>
        <v>COASTAL</v>
      </c>
      <c r="N58" s="50" t="str">
        <f t="shared" si="17"/>
        <v>Port Env &amp; Safety</v>
      </c>
      <c r="O58" s="48">
        <f>IFERROR(VLOOKUP(J58,'Tariff Master'!G:J,2,0),0)</f>
        <v>200</v>
      </c>
      <c r="P58">
        <f>IFERROR(VLOOKUP(J58,'Tariff Master'!G:J,3,0),0)</f>
        <v>0</v>
      </c>
      <c r="Q58" t="str">
        <f>IFERROR(VLOOKUP(J58,'Tariff Master'!G:J,4,0),0)</f>
        <v>USD</v>
      </c>
      <c r="S58">
        <f t="shared" si="8"/>
        <v>1</v>
      </c>
      <c r="T58">
        <f t="shared" si="9"/>
        <v>1</v>
      </c>
      <c r="U58">
        <f t="shared" si="10"/>
        <v>75</v>
      </c>
      <c r="V58" s="55">
        <f t="shared" si="11"/>
        <v>200</v>
      </c>
      <c r="W58" s="56">
        <f t="shared" si="12"/>
        <v>1.5E-3</v>
      </c>
    </row>
    <row r="59" spans="1:23" hidden="1" x14ac:dyDescent="0.3">
      <c r="A59" t="s">
        <v>214</v>
      </c>
      <c r="B59" t="s">
        <v>97</v>
      </c>
      <c r="C59" t="s">
        <v>115</v>
      </c>
      <c r="D59" t="s">
        <v>116</v>
      </c>
      <c r="E59" t="s">
        <v>7</v>
      </c>
      <c r="F59" t="s">
        <v>311</v>
      </c>
      <c r="G59" s="31">
        <v>3.5000000000000001E-3</v>
      </c>
      <c r="H59" s="31">
        <v>732</v>
      </c>
      <c r="J59" t="str">
        <f t="shared" si="13"/>
        <v>KATTUPALLICONTAINERFOREIGNBerth Hire</v>
      </c>
      <c r="K59" s="50" t="str">
        <f t="shared" si="14"/>
        <v>KATTUPALLI</v>
      </c>
      <c r="L59" s="50" t="str">
        <f t="shared" si="15"/>
        <v>CONTAINER</v>
      </c>
      <c r="M59" s="50" t="str">
        <f t="shared" si="16"/>
        <v>FOREIGN</v>
      </c>
      <c r="N59" s="50" t="str">
        <f t="shared" si="17"/>
        <v>Berth Hire</v>
      </c>
      <c r="O59" s="48">
        <f>IFERROR(VLOOKUP(J59,'Tariff Master'!G:J,2,0),0)</f>
        <v>3.5000000000000001E-3</v>
      </c>
      <c r="P59">
        <f>IFERROR(VLOOKUP(J59,'Tariff Master'!G:J,3,0),0)</f>
        <v>732</v>
      </c>
      <c r="Q59" t="str">
        <f>IFERROR(VLOOKUP(J59,'Tariff Master'!G:J,4,0),0)</f>
        <v>USD</v>
      </c>
      <c r="S59">
        <f t="shared" si="8"/>
        <v>37000</v>
      </c>
      <c r="T59">
        <f t="shared" si="9"/>
        <v>1</v>
      </c>
      <c r="U59">
        <f t="shared" si="10"/>
        <v>75</v>
      </c>
      <c r="V59" s="55">
        <f t="shared" si="11"/>
        <v>732</v>
      </c>
      <c r="W59" s="56">
        <f t="shared" si="12"/>
        <v>5.4900000000000001E-3</v>
      </c>
    </row>
    <row r="60" spans="1:23" hidden="1" x14ac:dyDescent="0.3">
      <c r="A60" t="s">
        <v>214</v>
      </c>
      <c r="B60" t="s">
        <v>97</v>
      </c>
      <c r="C60" t="s">
        <v>115</v>
      </c>
      <c r="D60" t="s">
        <v>116</v>
      </c>
      <c r="E60" t="s">
        <v>4</v>
      </c>
      <c r="F60" t="s">
        <v>312</v>
      </c>
      <c r="G60" s="31">
        <v>3.5000000000000003E-2</v>
      </c>
      <c r="H60" s="31">
        <v>200</v>
      </c>
      <c r="J60" t="str">
        <f t="shared" si="13"/>
        <v>KATTUPALLICONTAINERFOREIGNMooring</v>
      </c>
      <c r="K60" s="50" t="str">
        <f t="shared" si="14"/>
        <v>KATTUPALLI</v>
      </c>
      <c r="L60" s="50" t="str">
        <f t="shared" si="15"/>
        <v>CONTAINER</v>
      </c>
      <c r="M60" s="50" t="str">
        <f t="shared" si="16"/>
        <v>FOREIGN</v>
      </c>
      <c r="N60" s="50" t="str">
        <f t="shared" si="17"/>
        <v>Mooring</v>
      </c>
      <c r="O60" s="48">
        <f>IFERROR(VLOOKUP(J60,'Tariff Master'!G:J,2,0),0)</f>
        <v>3.5000000000000003E-2</v>
      </c>
      <c r="P60">
        <f>IFERROR(VLOOKUP(J60,'Tariff Master'!G:J,3,0),0)</f>
        <v>200</v>
      </c>
      <c r="Q60" t="str">
        <f>IFERROR(VLOOKUP(J60,'Tariff Master'!G:J,4,0),0)</f>
        <v>USD</v>
      </c>
      <c r="S60">
        <f t="shared" si="8"/>
        <v>37000</v>
      </c>
      <c r="T60">
        <f t="shared" si="9"/>
        <v>1</v>
      </c>
      <c r="U60">
        <f t="shared" si="10"/>
        <v>75</v>
      </c>
      <c r="V60" s="55">
        <f t="shared" si="11"/>
        <v>1295.0000000000002</v>
      </c>
      <c r="W60" s="56">
        <f t="shared" si="12"/>
        <v>9.7125000000000006E-3</v>
      </c>
    </row>
    <row r="61" spans="1:23" hidden="1" x14ac:dyDescent="0.3">
      <c r="A61" t="s">
        <v>214</v>
      </c>
      <c r="B61" t="s">
        <v>97</v>
      </c>
      <c r="C61" t="s">
        <v>115</v>
      </c>
      <c r="D61" t="s">
        <v>116</v>
      </c>
      <c r="E61" t="s">
        <v>3</v>
      </c>
      <c r="F61" t="s">
        <v>313</v>
      </c>
      <c r="G61" s="31">
        <v>0.622</v>
      </c>
      <c r="H61" s="31">
        <v>3050</v>
      </c>
      <c r="J61" t="str">
        <f t="shared" si="13"/>
        <v>KATTUPALLICONTAINERFOREIGNPilotage</v>
      </c>
      <c r="K61" s="50" t="str">
        <f t="shared" si="14"/>
        <v>KATTUPALLI</v>
      </c>
      <c r="L61" s="50" t="str">
        <f t="shared" si="15"/>
        <v>CONTAINER</v>
      </c>
      <c r="M61" s="50" t="str">
        <f t="shared" si="16"/>
        <v>FOREIGN</v>
      </c>
      <c r="N61" s="50" t="str">
        <f t="shared" si="17"/>
        <v>Pilotage</v>
      </c>
      <c r="O61" s="48">
        <f>IFERROR(VLOOKUP(J61,'Tariff Master'!G:J,2,0),0)</f>
        <v>0.622</v>
      </c>
      <c r="P61">
        <f>IFERROR(VLOOKUP(J61,'Tariff Master'!G:J,3,0),0)</f>
        <v>3050</v>
      </c>
      <c r="Q61" t="str">
        <f>IFERROR(VLOOKUP(J61,'Tariff Master'!G:J,4,0),0)</f>
        <v>USD</v>
      </c>
      <c r="S61">
        <f t="shared" si="8"/>
        <v>37000</v>
      </c>
      <c r="T61">
        <f t="shared" si="9"/>
        <v>1</v>
      </c>
      <c r="U61">
        <f t="shared" si="10"/>
        <v>75</v>
      </c>
      <c r="V61" s="55">
        <f t="shared" si="11"/>
        <v>23014</v>
      </c>
      <c r="W61" s="56">
        <f t="shared" si="12"/>
        <v>0.17260500000000001</v>
      </c>
    </row>
    <row r="62" spans="1:23" hidden="1" x14ac:dyDescent="0.3">
      <c r="A62" t="s">
        <v>214</v>
      </c>
      <c r="B62" t="s">
        <v>97</v>
      </c>
      <c r="C62" t="s">
        <v>115</v>
      </c>
      <c r="D62" t="s">
        <v>116</v>
      </c>
      <c r="E62" t="s">
        <v>75</v>
      </c>
      <c r="F62" t="s">
        <v>314</v>
      </c>
      <c r="G62" s="31">
        <v>200</v>
      </c>
      <c r="H62" s="31">
        <v>0</v>
      </c>
      <c r="J62" t="str">
        <f t="shared" si="13"/>
        <v>KATTUPALLICONTAINERFOREIGNPort Env &amp; Safety</v>
      </c>
      <c r="K62" s="50" t="str">
        <f t="shared" si="14"/>
        <v>KATTUPALLI</v>
      </c>
      <c r="L62" s="50" t="str">
        <f t="shared" si="15"/>
        <v>CONTAINER</v>
      </c>
      <c r="M62" s="50" t="str">
        <f t="shared" si="16"/>
        <v>FOREIGN</v>
      </c>
      <c r="N62" s="50" t="str">
        <f t="shared" si="17"/>
        <v>Port Env &amp; Safety</v>
      </c>
      <c r="O62" s="48">
        <f>IFERROR(VLOOKUP(J62,'Tariff Master'!G:J,2,0),0)</f>
        <v>200</v>
      </c>
      <c r="P62">
        <f>IFERROR(VLOOKUP(J62,'Tariff Master'!G:J,3,0),0)</f>
        <v>0</v>
      </c>
      <c r="Q62" t="str">
        <f>IFERROR(VLOOKUP(J62,'Tariff Master'!G:J,4,0),0)</f>
        <v>USD</v>
      </c>
      <c r="S62">
        <f t="shared" si="8"/>
        <v>1</v>
      </c>
      <c r="T62">
        <f t="shared" si="9"/>
        <v>1</v>
      </c>
      <c r="U62">
        <f t="shared" si="10"/>
        <v>75</v>
      </c>
      <c r="V62" s="55">
        <f t="shared" si="11"/>
        <v>200</v>
      </c>
      <c r="W62" s="56">
        <f t="shared" si="12"/>
        <v>1.5E-3</v>
      </c>
    </row>
    <row r="63" spans="1:23" x14ac:dyDescent="0.3">
      <c r="A63" t="s">
        <v>214</v>
      </c>
      <c r="B63" t="s">
        <v>97</v>
      </c>
      <c r="C63" t="s">
        <v>260</v>
      </c>
      <c r="D63" t="s">
        <v>163</v>
      </c>
      <c r="E63" t="s">
        <v>7</v>
      </c>
      <c r="F63" t="s">
        <v>315</v>
      </c>
      <c r="G63" s="31">
        <v>0.12</v>
      </c>
      <c r="H63" s="31">
        <v>12200</v>
      </c>
      <c r="J63" t="str">
        <f t="shared" si="13"/>
        <v>KATTUPALLIGENERALCOASTALBerth Hire</v>
      </c>
      <c r="K63" s="50" t="str">
        <f t="shared" si="14"/>
        <v>KATTUPALLI</v>
      </c>
      <c r="L63" s="50" t="str">
        <f t="shared" si="15"/>
        <v>GENERAL</v>
      </c>
      <c r="M63" s="50" t="str">
        <f t="shared" si="16"/>
        <v>COASTAL</v>
      </c>
      <c r="N63" s="50" t="str">
        <f t="shared" si="17"/>
        <v>Berth Hire</v>
      </c>
      <c r="O63" s="48">
        <f>IFERROR(VLOOKUP(J63,'Tariff Master'!G:J,2,0),0)</f>
        <v>0.12</v>
      </c>
      <c r="P63">
        <f>IFERROR(VLOOKUP(J63,'Tariff Master'!G:J,3,0),0)</f>
        <v>12200</v>
      </c>
      <c r="Q63" t="str">
        <f>IFERROR(VLOOKUP(J63,'Tariff Master'!G:J,4,0),0)</f>
        <v>INR</v>
      </c>
      <c r="S63">
        <f t="shared" si="8"/>
        <v>37000</v>
      </c>
      <c r="T63">
        <f t="shared" si="9"/>
        <v>1</v>
      </c>
      <c r="U63">
        <f t="shared" si="10"/>
        <v>75</v>
      </c>
      <c r="V63" s="55">
        <f t="shared" si="11"/>
        <v>12200</v>
      </c>
      <c r="W63" s="56">
        <f t="shared" si="12"/>
        <v>9.1499999999999998E-2</v>
      </c>
    </row>
    <row r="64" spans="1:23" x14ac:dyDescent="0.3">
      <c r="A64" t="s">
        <v>214</v>
      </c>
      <c r="B64" t="s">
        <v>97</v>
      </c>
      <c r="C64" t="s">
        <v>260</v>
      </c>
      <c r="D64" t="s">
        <v>163</v>
      </c>
      <c r="E64" t="s">
        <v>4</v>
      </c>
      <c r="F64" t="s">
        <v>316</v>
      </c>
      <c r="G64" s="31">
        <v>3.5000000000000003E-2</v>
      </c>
      <c r="H64" s="31">
        <v>200</v>
      </c>
      <c r="J64" t="str">
        <f t="shared" si="13"/>
        <v>KATTUPALLIGENERALCOASTALMooring</v>
      </c>
      <c r="K64" s="50" t="str">
        <f t="shared" si="14"/>
        <v>KATTUPALLI</v>
      </c>
      <c r="L64" s="50" t="str">
        <f t="shared" si="15"/>
        <v>GENERAL</v>
      </c>
      <c r="M64" s="50" t="str">
        <f t="shared" si="16"/>
        <v>COASTAL</v>
      </c>
      <c r="N64" s="50" t="str">
        <f t="shared" si="17"/>
        <v>Mooring</v>
      </c>
      <c r="O64" s="48">
        <f>IFERROR(VLOOKUP(J64,'Tariff Master'!G:J,2,0),0)</f>
        <v>3.5000000000000003E-2</v>
      </c>
      <c r="P64">
        <f>IFERROR(VLOOKUP(J64,'Tariff Master'!G:J,3,0),0)</f>
        <v>200</v>
      </c>
      <c r="Q64" t="str">
        <f>IFERROR(VLOOKUP(J64,'Tariff Master'!G:J,4,0),0)</f>
        <v>USD</v>
      </c>
      <c r="S64">
        <f t="shared" si="8"/>
        <v>37000</v>
      </c>
      <c r="T64">
        <f t="shared" si="9"/>
        <v>1</v>
      </c>
      <c r="U64">
        <f t="shared" si="10"/>
        <v>75</v>
      </c>
      <c r="V64" s="55">
        <f t="shared" si="11"/>
        <v>1295.0000000000002</v>
      </c>
      <c r="W64" s="56">
        <f t="shared" si="12"/>
        <v>9.7125000000000006E-3</v>
      </c>
    </row>
    <row r="65" spans="1:25" x14ac:dyDescent="0.3">
      <c r="A65" t="s">
        <v>214</v>
      </c>
      <c r="B65" t="s">
        <v>97</v>
      </c>
      <c r="C65" t="s">
        <v>260</v>
      </c>
      <c r="D65" t="s">
        <v>163</v>
      </c>
      <c r="E65" t="s">
        <v>3</v>
      </c>
      <c r="F65" t="s">
        <v>317</v>
      </c>
      <c r="G65" s="31">
        <v>17.079999999999998</v>
      </c>
      <c r="H65" s="31">
        <v>36600</v>
      </c>
      <c r="J65" t="str">
        <f t="shared" si="13"/>
        <v>KATTUPALLIGENERALCOASTALPilotage</v>
      </c>
      <c r="K65" s="50" t="str">
        <f t="shared" si="14"/>
        <v>KATTUPALLI</v>
      </c>
      <c r="L65" s="50" t="str">
        <f t="shared" si="15"/>
        <v>GENERAL</v>
      </c>
      <c r="M65" s="50" t="str">
        <f t="shared" si="16"/>
        <v>COASTAL</v>
      </c>
      <c r="N65" s="50" t="str">
        <f t="shared" si="17"/>
        <v>Pilotage</v>
      </c>
      <c r="O65" s="48">
        <f>IFERROR(VLOOKUP(J65,'Tariff Master'!G:J,2,0),0)</f>
        <v>17.079999999999998</v>
      </c>
      <c r="P65">
        <f>IFERROR(VLOOKUP(J65,'Tariff Master'!G:J,3,0),0)</f>
        <v>36600</v>
      </c>
      <c r="Q65" t="str">
        <f>IFERROR(VLOOKUP(J65,'Tariff Master'!G:J,4,0),0)</f>
        <v>INR</v>
      </c>
      <c r="S65">
        <f t="shared" si="8"/>
        <v>37000</v>
      </c>
      <c r="T65">
        <f t="shared" si="9"/>
        <v>1</v>
      </c>
      <c r="U65">
        <f t="shared" si="10"/>
        <v>75</v>
      </c>
      <c r="V65" s="55">
        <f t="shared" si="11"/>
        <v>631959.99999999988</v>
      </c>
      <c r="W65" s="56">
        <f t="shared" si="12"/>
        <v>4.7396999999999991</v>
      </c>
    </row>
    <row r="66" spans="1:25" x14ac:dyDescent="0.3">
      <c r="A66" t="s">
        <v>214</v>
      </c>
      <c r="B66" t="s">
        <v>97</v>
      </c>
      <c r="C66" t="s">
        <v>260</v>
      </c>
      <c r="D66" t="s">
        <v>163</v>
      </c>
      <c r="E66" t="s">
        <v>75</v>
      </c>
      <c r="F66" t="s">
        <v>318</v>
      </c>
      <c r="G66" s="31">
        <v>200</v>
      </c>
      <c r="H66" s="31">
        <v>0</v>
      </c>
      <c r="J66" t="str">
        <f t="shared" si="13"/>
        <v>KATTUPALLIGENERALCOASTALPort Env &amp; Safety</v>
      </c>
      <c r="K66" s="50" t="str">
        <f t="shared" si="14"/>
        <v>KATTUPALLI</v>
      </c>
      <c r="L66" s="50" t="str">
        <f t="shared" si="15"/>
        <v>GENERAL</v>
      </c>
      <c r="M66" s="50" t="str">
        <f t="shared" si="16"/>
        <v>COASTAL</v>
      </c>
      <c r="N66" s="50" t="str">
        <f t="shared" si="17"/>
        <v>Port Env &amp; Safety</v>
      </c>
      <c r="O66" s="48">
        <f>IFERROR(VLOOKUP(J66,'Tariff Master'!G:J,2,0),0)</f>
        <v>200</v>
      </c>
      <c r="P66">
        <f>IFERROR(VLOOKUP(J66,'Tariff Master'!G:J,3,0),0)</f>
        <v>0</v>
      </c>
      <c r="Q66" t="str">
        <f>IFERROR(VLOOKUP(J66,'Tariff Master'!G:J,4,0),0)</f>
        <v>USD</v>
      </c>
      <c r="S66">
        <f t="shared" si="8"/>
        <v>1</v>
      </c>
      <c r="T66">
        <f t="shared" si="9"/>
        <v>1</v>
      </c>
      <c r="U66">
        <f t="shared" si="10"/>
        <v>75</v>
      </c>
      <c r="V66" s="55">
        <f t="shared" si="11"/>
        <v>200</v>
      </c>
      <c r="W66" s="56">
        <f t="shared" si="12"/>
        <v>1.5E-3</v>
      </c>
    </row>
    <row r="67" spans="1:25" x14ac:dyDescent="0.3">
      <c r="A67" t="s">
        <v>214</v>
      </c>
      <c r="B67" t="s">
        <v>97</v>
      </c>
      <c r="C67" t="s">
        <v>260</v>
      </c>
      <c r="D67" t="s">
        <v>116</v>
      </c>
      <c r="E67" t="s">
        <v>7</v>
      </c>
      <c r="F67" t="s">
        <v>319</v>
      </c>
      <c r="G67" s="31">
        <v>4.8999999999999998E-3</v>
      </c>
      <c r="H67" s="31">
        <v>732</v>
      </c>
      <c r="J67" t="str">
        <f t="shared" si="13"/>
        <v>KATTUPALLIGENERALFOREIGNBerth Hire</v>
      </c>
      <c r="K67" s="50" t="str">
        <f t="shared" si="14"/>
        <v>KATTUPALLI</v>
      </c>
      <c r="L67" s="50" t="str">
        <f t="shared" si="15"/>
        <v>GENERAL</v>
      </c>
      <c r="M67" s="50" t="str">
        <f t="shared" si="16"/>
        <v>FOREIGN</v>
      </c>
      <c r="N67" s="50" t="str">
        <f t="shared" si="17"/>
        <v>Berth Hire</v>
      </c>
      <c r="O67" s="48">
        <f>IFERROR(VLOOKUP(J67,'Tariff Master'!G:J,2,0),0)</f>
        <v>4.8999999999999998E-3</v>
      </c>
      <c r="P67">
        <f>IFERROR(VLOOKUP(J67,'Tariff Master'!G:J,3,0),0)</f>
        <v>732</v>
      </c>
      <c r="Q67" t="str">
        <f>IFERROR(VLOOKUP(J67,'Tariff Master'!G:J,4,0),0)</f>
        <v>USD</v>
      </c>
      <c r="S67">
        <f t="shared" si="8"/>
        <v>37000</v>
      </c>
      <c r="T67">
        <f t="shared" si="9"/>
        <v>1</v>
      </c>
      <c r="U67">
        <f t="shared" si="10"/>
        <v>75</v>
      </c>
      <c r="V67" s="55">
        <f t="shared" si="11"/>
        <v>732</v>
      </c>
      <c r="W67" s="56">
        <f t="shared" si="12"/>
        <v>5.4900000000000001E-3</v>
      </c>
      <c r="Y67" s="60">
        <f t="shared" ref="Y67:Y70" si="18">W67*10^7</f>
        <v>54900</v>
      </c>
    </row>
    <row r="68" spans="1:25" x14ac:dyDescent="0.3">
      <c r="A68" t="s">
        <v>214</v>
      </c>
      <c r="B68" t="s">
        <v>97</v>
      </c>
      <c r="C68" t="s">
        <v>260</v>
      </c>
      <c r="D68" t="s">
        <v>116</v>
      </c>
      <c r="E68" t="s">
        <v>4</v>
      </c>
      <c r="F68" t="s">
        <v>320</v>
      </c>
      <c r="G68" s="31">
        <v>3.5000000000000003E-2</v>
      </c>
      <c r="H68" s="31">
        <v>200</v>
      </c>
      <c r="J68" t="str">
        <f t="shared" si="13"/>
        <v>KATTUPALLIGENERALFOREIGNMooring</v>
      </c>
      <c r="K68" s="50" t="str">
        <f t="shared" si="14"/>
        <v>KATTUPALLI</v>
      </c>
      <c r="L68" s="50" t="str">
        <f t="shared" si="15"/>
        <v>GENERAL</v>
      </c>
      <c r="M68" s="50" t="str">
        <f t="shared" si="16"/>
        <v>FOREIGN</v>
      </c>
      <c r="N68" s="50" t="str">
        <f t="shared" si="17"/>
        <v>Mooring</v>
      </c>
      <c r="O68" s="48">
        <f>IFERROR(VLOOKUP(J68,'Tariff Master'!G:J,2,0),0)</f>
        <v>3.5000000000000003E-2</v>
      </c>
      <c r="P68">
        <f>IFERROR(VLOOKUP(J68,'Tariff Master'!G:J,3,0),0)</f>
        <v>200</v>
      </c>
      <c r="Q68" t="str">
        <f>IFERROR(VLOOKUP(J68,'Tariff Master'!G:J,4,0),0)</f>
        <v>USD</v>
      </c>
      <c r="S68">
        <f t="shared" si="8"/>
        <v>37000</v>
      </c>
      <c r="T68">
        <f t="shared" si="9"/>
        <v>1</v>
      </c>
      <c r="U68">
        <f t="shared" si="10"/>
        <v>75</v>
      </c>
      <c r="V68" s="55">
        <f t="shared" si="11"/>
        <v>1295.0000000000002</v>
      </c>
      <c r="W68" s="56">
        <f t="shared" si="12"/>
        <v>9.7125000000000006E-3</v>
      </c>
      <c r="Y68" s="60">
        <f t="shared" si="18"/>
        <v>97125</v>
      </c>
    </row>
    <row r="69" spans="1:25" x14ac:dyDescent="0.3">
      <c r="A69" t="s">
        <v>214</v>
      </c>
      <c r="B69" t="s">
        <v>97</v>
      </c>
      <c r="C69" t="s">
        <v>260</v>
      </c>
      <c r="D69" t="s">
        <v>116</v>
      </c>
      <c r="E69" t="s">
        <v>3</v>
      </c>
      <c r="F69" t="s">
        <v>321</v>
      </c>
      <c r="G69" s="31">
        <v>0.73199999999999998</v>
      </c>
      <c r="H69" s="31">
        <v>3294</v>
      </c>
      <c r="J69" t="str">
        <f t="shared" si="13"/>
        <v>KATTUPALLIGENERALFOREIGNPilotage</v>
      </c>
      <c r="K69" s="50" t="str">
        <f t="shared" si="14"/>
        <v>KATTUPALLI</v>
      </c>
      <c r="L69" s="50" t="str">
        <f t="shared" si="15"/>
        <v>GENERAL</v>
      </c>
      <c r="M69" s="50" t="str">
        <f t="shared" si="16"/>
        <v>FOREIGN</v>
      </c>
      <c r="N69" s="50" t="str">
        <f t="shared" si="17"/>
        <v>Pilotage</v>
      </c>
      <c r="O69" s="48">
        <f>IFERROR(VLOOKUP(J69,'Tariff Master'!G:J,2,0),0)</f>
        <v>0.73199999999999998</v>
      </c>
      <c r="P69">
        <f>IFERROR(VLOOKUP(J69,'Tariff Master'!G:J,3,0),0)</f>
        <v>3294</v>
      </c>
      <c r="Q69" t="str">
        <f>IFERROR(VLOOKUP(J69,'Tariff Master'!G:J,4,0),0)</f>
        <v>USD</v>
      </c>
      <c r="S69">
        <f t="shared" si="8"/>
        <v>37000</v>
      </c>
      <c r="T69">
        <f t="shared" si="9"/>
        <v>1</v>
      </c>
      <c r="U69">
        <f t="shared" si="10"/>
        <v>75</v>
      </c>
      <c r="V69" s="55">
        <f t="shared" si="11"/>
        <v>27084</v>
      </c>
      <c r="W69" s="56">
        <f t="shared" si="12"/>
        <v>0.20313000000000001</v>
      </c>
      <c r="Y69" s="60">
        <f t="shared" si="18"/>
        <v>2031300</v>
      </c>
    </row>
    <row r="70" spans="1:25" x14ac:dyDescent="0.3">
      <c r="A70" t="s">
        <v>214</v>
      </c>
      <c r="B70" t="s">
        <v>97</v>
      </c>
      <c r="C70" t="s">
        <v>260</v>
      </c>
      <c r="D70" t="s">
        <v>116</v>
      </c>
      <c r="E70" t="s">
        <v>75</v>
      </c>
      <c r="F70" t="s">
        <v>322</v>
      </c>
      <c r="G70" s="31">
        <v>200</v>
      </c>
      <c r="H70" s="31">
        <v>0</v>
      </c>
      <c r="J70" t="str">
        <f t="shared" si="13"/>
        <v>KATTUPALLIGENERALFOREIGNPort Env &amp; Safety</v>
      </c>
      <c r="K70" s="50" t="str">
        <f t="shared" si="14"/>
        <v>KATTUPALLI</v>
      </c>
      <c r="L70" s="50" t="str">
        <f t="shared" si="15"/>
        <v>GENERAL</v>
      </c>
      <c r="M70" s="50" t="str">
        <f t="shared" si="16"/>
        <v>FOREIGN</v>
      </c>
      <c r="N70" s="50" t="str">
        <f t="shared" si="17"/>
        <v>Port Env &amp; Safety</v>
      </c>
      <c r="O70" s="48">
        <f>IFERROR(VLOOKUP(J70,'Tariff Master'!G:J,2,0),0)</f>
        <v>200</v>
      </c>
      <c r="P70">
        <f>IFERROR(VLOOKUP(J70,'Tariff Master'!G:J,3,0),0)</f>
        <v>0</v>
      </c>
      <c r="Q70" t="str">
        <f>IFERROR(VLOOKUP(J70,'Tariff Master'!G:J,4,0),0)</f>
        <v>USD</v>
      </c>
      <c r="S70">
        <f t="shared" si="8"/>
        <v>1</v>
      </c>
      <c r="T70">
        <f t="shared" si="9"/>
        <v>1</v>
      </c>
      <c r="U70">
        <f t="shared" si="10"/>
        <v>75</v>
      </c>
      <c r="V70" s="55">
        <f t="shared" si="11"/>
        <v>200</v>
      </c>
      <c r="W70" s="56">
        <f t="shared" si="12"/>
        <v>1.5E-3</v>
      </c>
      <c r="Y70" s="60">
        <f t="shared" si="18"/>
        <v>15000</v>
      </c>
    </row>
    <row r="71" spans="1:25" hidden="1" x14ac:dyDescent="0.3">
      <c r="A71" t="s">
        <v>214</v>
      </c>
      <c r="B71" t="s">
        <v>98</v>
      </c>
      <c r="C71" t="s">
        <v>115</v>
      </c>
      <c r="D71" t="s">
        <v>163</v>
      </c>
      <c r="E71" t="s">
        <v>7</v>
      </c>
      <c r="F71" t="s">
        <v>234</v>
      </c>
      <c r="G71" s="31">
        <v>3.1099999999999999E-3</v>
      </c>
      <c r="H71" s="31">
        <v>325</v>
      </c>
      <c r="J71" t="str">
        <f t="shared" si="13"/>
        <v>KPCLCONTAINERCOASTALBerth Hire</v>
      </c>
      <c r="K71" s="50" t="str">
        <f t="shared" si="14"/>
        <v>KPCL</v>
      </c>
      <c r="L71" s="50" t="str">
        <f t="shared" si="15"/>
        <v>CONTAINER</v>
      </c>
      <c r="M71" s="50" t="str">
        <f t="shared" si="16"/>
        <v>COASTAL</v>
      </c>
      <c r="N71" s="50" t="str">
        <f t="shared" si="17"/>
        <v>Berth Hire</v>
      </c>
      <c r="O71" s="48">
        <f>IFERROR(VLOOKUP(J71,'Tariff Master'!G:J,2,0),0)</f>
        <v>3.1099999999999999E-3</v>
      </c>
      <c r="P71">
        <f>IFERROR(VLOOKUP(J71,'Tariff Master'!G:J,3,0),0)</f>
        <v>325</v>
      </c>
      <c r="Q71" t="str">
        <f>IFERROR(VLOOKUP(J71,'Tariff Master'!G:J,4,0),0)</f>
        <v>USD</v>
      </c>
      <c r="S71">
        <f t="shared" si="8"/>
        <v>37000</v>
      </c>
      <c r="T71">
        <f t="shared" si="9"/>
        <v>1</v>
      </c>
      <c r="U71">
        <f t="shared" si="10"/>
        <v>75</v>
      </c>
      <c r="V71" s="55">
        <f t="shared" si="11"/>
        <v>325</v>
      </c>
      <c r="W71" s="56">
        <f t="shared" si="12"/>
        <v>2.4375E-3</v>
      </c>
    </row>
    <row r="72" spans="1:25" hidden="1" x14ac:dyDescent="0.3">
      <c r="A72" t="s">
        <v>214</v>
      </c>
      <c r="B72" t="s">
        <v>98</v>
      </c>
      <c r="C72" t="s">
        <v>115</v>
      </c>
      <c r="D72" t="s">
        <v>163</v>
      </c>
      <c r="E72" t="s">
        <v>4</v>
      </c>
      <c r="F72" t="s">
        <v>235</v>
      </c>
      <c r="G72" s="31">
        <v>3.4720000000000001E-2</v>
      </c>
      <c r="H72" s="31">
        <v>0</v>
      </c>
      <c r="J72" t="str">
        <f t="shared" si="13"/>
        <v>KPCLCONTAINERCOASTALMooring</v>
      </c>
      <c r="K72" s="50" t="str">
        <f t="shared" si="14"/>
        <v>KPCL</v>
      </c>
      <c r="L72" s="50" t="str">
        <f t="shared" si="15"/>
        <v>CONTAINER</v>
      </c>
      <c r="M72" s="50" t="str">
        <f t="shared" si="16"/>
        <v>COASTAL</v>
      </c>
      <c r="N72" s="50" t="str">
        <f t="shared" si="17"/>
        <v>Mooring</v>
      </c>
      <c r="O72" s="48">
        <f>IFERROR(VLOOKUP(J72,'Tariff Master'!G:J,2,0),0)</f>
        <v>3.4720000000000001E-2</v>
      </c>
      <c r="P72">
        <f>IFERROR(VLOOKUP(J72,'Tariff Master'!G:J,3,0),0)</f>
        <v>0</v>
      </c>
      <c r="Q72" t="str">
        <f>IFERROR(VLOOKUP(J72,'Tariff Master'!G:J,4,0),0)</f>
        <v>USD</v>
      </c>
      <c r="S72">
        <f t="shared" si="8"/>
        <v>37000</v>
      </c>
      <c r="T72">
        <f t="shared" si="9"/>
        <v>1</v>
      </c>
      <c r="U72">
        <f t="shared" si="10"/>
        <v>75</v>
      </c>
      <c r="V72" s="55">
        <f t="shared" si="11"/>
        <v>1284.6400000000001</v>
      </c>
      <c r="W72" s="56">
        <f t="shared" si="12"/>
        <v>9.6348000000000007E-3</v>
      </c>
    </row>
    <row r="73" spans="1:25" hidden="1" x14ac:dyDescent="0.3">
      <c r="A73" t="s">
        <v>214</v>
      </c>
      <c r="B73" t="s">
        <v>98</v>
      </c>
      <c r="C73" t="s">
        <v>115</v>
      </c>
      <c r="D73" t="s">
        <v>163</v>
      </c>
      <c r="E73" t="s">
        <v>3</v>
      </c>
      <c r="F73" t="s">
        <v>236</v>
      </c>
      <c r="G73" s="31">
        <v>0.74292000000000002</v>
      </c>
      <c r="H73" s="31"/>
      <c r="J73" t="str">
        <f t="shared" si="13"/>
        <v>KPCLCONTAINERCOASTALPilotage</v>
      </c>
      <c r="K73" s="50" t="str">
        <f t="shared" si="14"/>
        <v>KPCL</v>
      </c>
      <c r="L73" s="50" t="str">
        <f t="shared" si="15"/>
        <v>CONTAINER</v>
      </c>
      <c r="M73" s="50" t="str">
        <f t="shared" si="16"/>
        <v>COASTAL</v>
      </c>
      <c r="N73" s="50" t="str">
        <f t="shared" si="17"/>
        <v>Pilotage</v>
      </c>
      <c r="O73" s="48">
        <f>IFERROR(VLOOKUP(J73,'Tariff Master'!G:J,2,0),0)</f>
        <v>0.74292000000000002</v>
      </c>
      <c r="P73">
        <f>IFERROR(VLOOKUP(J73,'Tariff Master'!G:J,3,0),0)</f>
        <v>0</v>
      </c>
      <c r="Q73" t="str">
        <f>IFERROR(VLOOKUP(J73,'Tariff Master'!G:J,4,0),0)</f>
        <v>USD</v>
      </c>
      <c r="S73">
        <f t="shared" si="8"/>
        <v>37000</v>
      </c>
      <c r="T73">
        <f t="shared" si="9"/>
        <v>1</v>
      </c>
      <c r="U73">
        <f t="shared" si="10"/>
        <v>75</v>
      </c>
      <c r="V73" s="55">
        <f t="shared" si="11"/>
        <v>27488.04</v>
      </c>
      <c r="W73" s="56">
        <f t="shared" si="12"/>
        <v>0.20616029999999999</v>
      </c>
    </row>
    <row r="74" spans="1:25" hidden="1" x14ac:dyDescent="0.3">
      <c r="A74" t="s">
        <v>214</v>
      </c>
      <c r="B74" t="s">
        <v>98</v>
      </c>
      <c r="C74" t="s">
        <v>115</v>
      </c>
      <c r="D74" t="s">
        <v>163</v>
      </c>
      <c r="E74" t="s">
        <v>0</v>
      </c>
      <c r="F74" t="s">
        <v>237</v>
      </c>
      <c r="G74" s="31">
        <v>2.2179999999999998E-2</v>
      </c>
      <c r="H74" s="31">
        <v>0</v>
      </c>
      <c r="J74" t="str">
        <f t="shared" si="13"/>
        <v>KPCLCONTAINERCOASTALPort Dues</v>
      </c>
      <c r="K74" s="50" t="str">
        <f t="shared" si="14"/>
        <v>KPCL</v>
      </c>
      <c r="L74" s="50" t="str">
        <f t="shared" si="15"/>
        <v>CONTAINER</v>
      </c>
      <c r="M74" s="50" t="str">
        <f t="shared" si="16"/>
        <v>COASTAL</v>
      </c>
      <c r="N74" s="50" t="str">
        <f t="shared" si="17"/>
        <v>Port Dues</v>
      </c>
      <c r="O74" s="48">
        <f>IFERROR(VLOOKUP(J74,'Tariff Master'!G:J,2,0),0)</f>
        <v>2.2179999999999998E-2</v>
      </c>
      <c r="P74">
        <f>IFERROR(VLOOKUP(J74,'Tariff Master'!G:J,3,0),0)</f>
        <v>0</v>
      </c>
      <c r="Q74" t="str">
        <f>IFERROR(VLOOKUP(J74,'Tariff Master'!G:J,4,0),0)</f>
        <v>USD</v>
      </c>
      <c r="S74">
        <f t="shared" si="8"/>
        <v>37000</v>
      </c>
      <c r="T74">
        <f t="shared" si="9"/>
        <v>1</v>
      </c>
      <c r="U74">
        <f t="shared" si="10"/>
        <v>75</v>
      </c>
      <c r="V74" s="55">
        <f t="shared" si="11"/>
        <v>820.66</v>
      </c>
      <c r="W74" s="56">
        <f t="shared" si="12"/>
        <v>6.1549500000000002E-3</v>
      </c>
    </row>
    <row r="75" spans="1:25" hidden="1" x14ac:dyDescent="0.3">
      <c r="A75" t="s">
        <v>214</v>
      </c>
      <c r="B75" t="s">
        <v>98</v>
      </c>
      <c r="C75" t="s">
        <v>115</v>
      </c>
      <c r="D75" t="s">
        <v>163</v>
      </c>
      <c r="E75" t="s">
        <v>75</v>
      </c>
      <c r="F75" t="s">
        <v>238</v>
      </c>
      <c r="G75" s="31">
        <v>200</v>
      </c>
      <c r="H75" s="31">
        <v>0</v>
      </c>
      <c r="J75" t="str">
        <f t="shared" si="13"/>
        <v>KPCLCONTAINERCOASTALPort Env &amp; Safety</v>
      </c>
      <c r="K75" s="50" t="str">
        <f t="shared" si="14"/>
        <v>KPCL</v>
      </c>
      <c r="L75" s="50" t="str">
        <f t="shared" si="15"/>
        <v>CONTAINER</v>
      </c>
      <c r="M75" s="50" t="str">
        <f t="shared" si="16"/>
        <v>COASTAL</v>
      </c>
      <c r="N75" s="50" t="str">
        <f t="shared" si="17"/>
        <v>Port Env &amp; Safety</v>
      </c>
      <c r="O75" s="48">
        <f>IFERROR(VLOOKUP(J75,'Tariff Master'!G:J,2,0),0)</f>
        <v>200</v>
      </c>
      <c r="P75">
        <f>IFERROR(VLOOKUP(J75,'Tariff Master'!G:J,3,0),0)</f>
        <v>0</v>
      </c>
      <c r="Q75" t="str">
        <f>IFERROR(VLOOKUP(J75,'Tariff Master'!G:J,4,0),0)</f>
        <v>USD</v>
      </c>
      <c r="S75">
        <f t="shared" si="8"/>
        <v>1</v>
      </c>
      <c r="T75">
        <f t="shared" si="9"/>
        <v>1</v>
      </c>
      <c r="U75">
        <f t="shared" si="10"/>
        <v>75</v>
      </c>
      <c r="V75" s="55">
        <f t="shared" si="11"/>
        <v>200</v>
      </c>
      <c r="W75" s="56">
        <f t="shared" si="12"/>
        <v>1.5E-3</v>
      </c>
    </row>
    <row r="76" spans="1:25" hidden="1" x14ac:dyDescent="0.3">
      <c r="A76" t="s">
        <v>214</v>
      </c>
      <c r="B76" t="s">
        <v>98</v>
      </c>
      <c r="C76" t="s">
        <v>115</v>
      </c>
      <c r="D76" t="s">
        <v>116</v>
      </c>
      <c r="E76" t="s">
        <v>7</v>
      </c>
      <c r="F76" t="s">
        <v>239</v>
      </c>
      <c r="G76" s="31">
        <v>3.1099999999999999E-3</v>
      </c>
      <c r="H76" s="31">
        <v>325</v>
      </c>
      <c r="J76" t="str">
        <f t="shared" si="13"/>
        <v>KPCLCONTAINERFOREIGNBerth Hire</v>
      </c>
      <c r="K76" s="50" t="str">
        <f t="shared" si="14"/>
        <v>KPCL</v>
      </c>
      <c r="L76" s="50" t="str">
        <f t="shared" si="15"/>
        <v>CONTAINER</v>
      </c>
      <c r="M76" s="50" t="str">
        <f t="shared" si="16"/>
        <v>FOREIGN</v>
      </c>
      <c r="N76" s="50" t="str">
        <f t="shared" si="17"/>
        <v>Berth Hire</v>
      </c>
      <c r="O76" s="48">
        <f>IFERROR(VLOOKUP(J76,'Tariff Master'!G:J,2,0),0)</f>
        <v>3.1099999999999999E-3</v>
      </c>
      <c r="P76">
        <f>IFERROR(VLOOKUP(J76,'Tariff Master'!G:J,3,0),0)</f>
        <v>325</v>
      </c>
      <c r="Q76" t="str">
        <f>IFERROR(VLOOKUP(J76,'Tariff Master'!G:J,4,0),0)</f>
        <v>USD</v>
      </c>
      <c r="S76">
        <f t="shared" si="8"/>
        <v>37000</v>
      </c>
      <c r="T76">
        <f t="shared" si="9"/>
        <v>1</v>
      </c>
      <c r="U76">
        <f t="shared" si="10"/>
        <v>75</v>
      </c>
      <c r="V76" s="55">
        <f t="shared" si="11"/>
        <v>325</v>
      </c>
      <c r="W76" s="56">
        <f t="shared" si="12"/>
        <v>2.4375E-3</v>
      </c>
    </row>
    <row r="77" spans="1:25" hidden="1" x14ac:dyDescent="0.3">
      <c r="A77" t="s">
        <v>214</v>
      </c>
      <c r="B77" t="s">
        <v>98</v>
      </c>
      <c r="C77" t="s">
        <v>115</v>
      </c>
      <c r="D77" t="s">
        <v>116</v>
      </c>
      <c r="E77" t="s">
        <v>4</v>
      </c>
      <c r="F77" t="s">
        <v>240</v>
      </c>
      <c r="G77" s="31">
        <v>3.4720000000000001E-2</v>
      </c>
      <c r="H77" s="31">
        <v>0</v>
      </c>
      <c r="J77" t="str">
        <f t="shared" si="13"/>
        <v>KPCLCONTAINERFOREIGNMooring</v>
      </c>
      <c r="K77" s="50" t="str">
        <f t="shared" si="14"/>
        <v>KPCL</v>
      </c>
      <c r="L77" s="50" t="str">
        <f t="shared" si="15"/>
        <v>CONTAINER</v>
      </c>
      <c r="M77" s="50" t="str">
        <f t="shared" si="16"/>
        <v>FOREIGN</v>
      </c>
      <c r="N77" s="50" t="str">
        <f t="shared" si="17"/>
        <v>Mooring</v>
      </c>
      <c r="O77" s="48">
        <f>IFERROR(VLOOKUP(J77,'Tariff Master'!G:J,2,0),0)</f>
        <v>3.4720000000000001E-2</v>
      </c>
      <c r="P77">
        <f>IFERROR(VLOOKUP(J77,'Tariff Master'!G:J,3,0),0)</f>
        <v>0</v>
      </c>
      <c r="Q77" t="str">
        <f>IFERROR(VLOOKUP(J77,'Tariff Master'!G:J,4,0),0)</f>
        <v>USD</v>
      </c>
      <c r="S77">
        <f t="shared" si="8"/>
        <v>37000</v>
      </c>
      <c r="T77">
        <f t="shared" si="9"/>
        <v>1</v>
      </c>
      <c r="U77">
        <f t="shared" si="10"/>
        <v>75</v>
      </c>
      <c r="V77" s="55">
        <f t="shared" ref="V77:V108" si="19">MAX(S77*O77*IF(N77="Berth Hire",T77,1),P77)</f>
        <v>1284.6400000000001</v>
      </c>
      <c r="W77" s="56">
        <f t="shared" ref="W77:W108" si="20">V77*U77/10^7</f>
        <v>9.6348000000000007E-3</v>
      </c>
    </row>
    <row r="78" spans="1:25" hidden="1" x14ac:dyDescent="0.3">
      <c r="A78" t="s">
        <v>214</v>
      </c>
      <c r="B78" t="s">
        <v>98</v>
      </c>
      <c r="C78" t="s">
        <v>115</v>
      </c>
      <c r="D78" t="s">
        <v>116</v>
      </c>
      <c r="E78" t="s">
        <v>3</v>
      </c>
      <c r="F78" t="s">
        <v>241</v>
      </c>
      <c r="G78" s="31">
        <v>0.74292000000000002</v>
      </c>
      <c r="H78" s="31"/>
      <c r="J78" t="str">
        <f t="shared" si="13"/>
        <v>KPCLCONTAINERFOREIGNPilotage</v>
      </c>
      <c r="K78" s="50" t="str">
        <f t="shared" si="14"/>
        <v>KPCL</v>
      </c>
      <c r="L78" s="50" t="str">
        <f t="shared" si="15"/>
        <v>CONTAINER</v>
      </c>
      <c r="M78" s="50" t="str">
        <f t="shared" si="16"/>
        <v>FOREIGN</v>
      </c>
      <c r="N78" s="50" t="str">
        <f t="shared" si="17"/>
        <v>Pilotage</v>
      </c>
      <c r="O78" s="48">
        <f>IFERROR(VLOOKUP(J78,'Tariff Master'!G:J,2,0),0)</f>
        <v>0.74292000000000002</v>
      </c>
      <c r="P78">
        <f>IFERROR(VLOOKUP(J78,'Tariff Master'!G:J,3,0),0)</f>
        <v>0</v>
      </c>
      <c r="Q78" t="str">
        <f>IFERROR(VLOOKUP(J78,'Tariff Master'!G:J,4,0),0)</f>
        <v>USD</v>
      </c>
      <c r="S78">
        <f t="shared" ref="S78:S108" si="21">IF(N78="Port Env &amp; Safety",1,$U$1)</f>
        <v>37000</v>
      </c>
      <c r="T78">
        <f t="shared" ref="T78:T108" si="22">IF(N78="Berth Hire",$U$2,1)</f>
        <v>1</v>
      </c>
      <c r="U78">
        <f t="shared" ref="U78:U108" si="23">$U$3</f>
        <v>75</v>
      </c>
      <c r="V78" s="55">
        <f t="shared" si="19"/>
        <v>27488.04</v>
      </c>
      <c r="W78" s="56">
        <f t="shared" si="20"/>
        <v>0.20616029999999999</v>
      </c>
    </row>
    <row r="79" spans="1:25" hidden="1" x14ac:dyDescent="0.3">
      <c r="A79" t="s">
        <v>214</v>
      </c>
      <c r="B79" t="s">
        <v>98</v>
      </c>
      <c r="C79" t="s">
        <v>115</v>
      </c>
      <c r="D79" t="s">
        <v>116</v>
      </c>
      <c r="E79" t="s">
        <v>0</v>
      </c>
      <c r="F79" t="s">
        <v>242</v>
      </c>
      <c r="G79" s="31">
        <v>2.2179999999999998E-2</v>
      </c>
      <c r="H79" s="31">
        <v>0</v>
      </c>
      <c r="J79" t="str">
        <f t="shared" si="13"/>
        <v>KPCLCONTAINERFOREIGNPort Dues</v>
      </c>
      <c r="K79" s="50" t="str">
        <f t="shared" si="14"/>
        <v>KPCL</v>
      </c>
      <c r="L79" s="50" t="str">
        <f t="shared" si="15"/>
        <v>CONTAINER</v>
      </c>
      <c r="M79" s="50" t="str">
        <f t="shared" si="16"/>
        <v>FOREIGN</v>
      </c>
      <c r="N79" s="50" t="str">
        <f t="shared" si="17"/>
        <v>Port Dues</v>
      </c>
      <c r="O79" s="48">
        <f>IFERROR(VLOOKUP(J79,'Tariff Master'!G:J,2,0),0)</f>
        <v>2.2179999999999998E-2</v>
      </c>
      <c r="P79">
        <f>IFERROR(VLOOKUP(J79,'Tariff Master'!G:J,3,0),0)</f>
        <v>0</v>
      </c>
      <c r="Q79" t="str">
        <f>IFERROR(VLOOKUP(J79,'Tariff Master'!G:J,4,0),0)</f>
        <v>USD</v>
      </c>
      <c r="S79">
        <f t="shared" si="21"/>
        <v>37000</v>
      </c>
      <c r="T79">
        <f t="shared" si="22"/>
        <v>1</v>
      </c>
      <c r="U79">
        <f t="shared" si="23"/>
        <v>75</v>
      </c>
      <c r="V79" s="55">
        <f t="shared" si="19"/>
        <v>820.66</v>
      </c>
      <c r="W79" s="56">
        <f t="shared" si="20"/>
        <v>6.1549500000000002E-3</v>
      </c>
    </row>
    <row r="80" spans="1:25" hidden="1" x14ac:dyDescent="0.3">
      <c r="A80" t="s">
        <v>214</v>
      </c>
      <c r="B80" t="s">
        <v>98</v>
      </c>
      <c r="C80" t="s">
        <v>115</v>
      </c>
      <c r="D80" t="s">
        <v>116</v>
      </c>
      <c r="E80" t="s">
        <v>75</v>
      </c>
      <c r="F80" t="s">
        <v>243</v>
      </c>
      <c r="G80" s="31">
        <v>200</v>
      </c>
      <c r="H80" s="31">
        <v>0</v>
      </c>
      <c r="J80" t="str">
        <f t="shared" si="13"/>
        <v>KPCLCONTAINERFOREIGNPort Env &amp; Safety</v>
      </c>
      <c r="K80" s="50" t="str">
        <f t="shared" si="14"/>
        <v>KPCL</v>
      </c>
      <c r="L80" s="50" t="str">
        <f t="shared" si="15"/>
        <v>CONTAINER</v>
      </c>
      <c r="M80" s="50" t="str">
        <f t="shared" si="16"/>
        <v>FOREIGN</v>
      </c>
      <c r="N80" s="50" t="str">
        <f t="shared" si="17"/>
        <v>Port Env &amp; Safety</v>
      </c>
      <c r="O80" s="48">
        <f>IFERROR(VLOOKUP(J80,'Tariff Master'!G:J,2,0),0)</f>
        <v>200</v>
      </c>
      <c r="P80">
        <f>IFERROR(VLOOKUP(J80,'Tariff Master'!G:J,3,0),0)</f>
        <v>0</v>
      </c>
      <c r="Q80" t="str">
        <f>IFERROR(VLOOKUP(J80,'Tariff Master'!G:J,4,0),0)</f>
        <v>USD</v>
      </c>
      <c r="S80">
        <f t="shared" si="21"/>
        <v>1</v>
      </c>
      <c r="T80">
        <f t="shared" si="22"/>
        <v>1</v>
      </c>
      <c r="U80">
        <f t="shared" si="23"/>
        <v>75</v>
      </c>
      <c r="V80" s="55">
        <f t="shared" si="19"/>
        <v>200</v>
      </c>
      <c r="W80" s="56">
        <f t="shared" si="20"/>
        <v>1.5E-3</v>
      </c>
    </row>
    <row r="81" spans="1:25" hidden="1" x14ac:dyDescent="0.3">
      <c r="A81" t="s">
        <v>214</v>
      </c>
      <c r="B81" t="s">
        <v>98</v>
      </c>
      <c r="C81" t="s">
        <v>260</v>
      </c>
      <c r="D81" t="s">
        <v>163</v>
      </c>
      <c r="E81" t="s">
        <v>7</v>
      </c>
      <c r="F81" t="s">
        <v>286</v>
      </c>
      <c r="G81" s="31">
        <v>7.0000000000000001E-3</v>
      </c>
      <c r="H81" s="31">
        <v>325</v>
      </c>
      <c r="J81" t="str">
        <f t="shared" si="13"/>
        <v>KPCLGENERALCOASTALBerth Hire</v>
      </c>
      <c r="K81" s="50" t="str">
        <f t="shared" si="14"/>
        <v>KPCL</v>
      </c>
      <c r="L81" s="50" t="str">
        <f t="shared" si="15"/>
        <v>GENERAL</v>
      </c>
      <c r="M81" s="50" t="str">
        <f t="shared" si="16"/>
        <v>COASTAL</v>
      </c>
      <c r="N81" s="50" t="str">
        <f t="shared" si="17"/>
        <v>Berth Hire</v>
      </c>
      <c r="O81" s="48">
        <f>IFERROR(VLOOKUP(J81,'Tariff Master'!G:J,2,0),0)</f>
        <v>7.0000000000000001E-3</v>
      </c>
      <c r="P81">
        <f>IFERROR(VLOOKUP(J81,'Tariff Master'!G:J,3,0),0)</f>
        <v>325</v>
      </c>
      <c r="Q81" t="str">
        <f>IFERROR(VLOOKUP(J81,'Tariff Master'!G:J,4,0),0)</f>
        <v>USD</v>
      </c>
      <c r="S81">
        <f t="shared" si="21"/>
        <v>37000</v>
      </c>
      <c r="T81">
        <f t="shared" si="22"/>
        <v>1</v>
      </c>
      <c r="U81">
        <f t="shared" si="23"/>
        <v>75</v>
      </c>
      <c r="V81" s="55">
        <f t="shared" si="19"/>
        <v>325</v>
      </c>
      <c r="W81" s="56">
        <f t="shared" si="20"/>
        <v>2.4375E-3</v>
      </c>
    </row>
    <row r="82" spans="1:25" hidden="1" x14ac:dyDescent="0.3">
      <c r="A82" t="s">
        <v>214</v>
      </c>
      <c r="B82" t="s">
        <v>98</v>
      </c>
      <c r="C82" t="s">
        <v>260</v>
      </c>
      <c r="D82" t="s">
        <v>163</v>
      </c>
      <c r="E82" t="s">
        <v>4</v>
      </c>
      <c r="F82" t="s">
        <v>287</v>
      </c>
      <c r="G82" s="31">
        <v>3.4720000000000001E-2</v>
      </c>
      <c r="H82" s="31">
        <v>0</v>
      </c>
      <c r="J82" t="str">
        <f t="shared" si="13"/>
        <v>KPCLGENERALCOASTALMooring</v>
      </c>
      <c r="K82" s="50" t="str">
        <f t="shared" si="14"/>
        <v>KPCL</v>
      </c>
      <c r="L82" s="50" t="str">
        <f t="shared" si="15"/>
        <v>GENERAL</v>
      </c>
      <c r="M82" s="50" t="str">
        <f t="shared" si="16"/>
        <v>COASTAL</v>
      </c>
      <c r="N82" s="50" t="str">
        <f t="shared" si="17"/>
        <v>Mooring</v>
      </c>
      <c r="O82" s="48">
        <f>IFERROR(VLOOKUP(J82,'Tariff Master'!G:J,2,0),0)</f>
        <v>3.4720000000000001E-2</v>
      </c>
      <c r="P82">
        <f>IFERROR(VLOOKUP(J82,'Tariff Master'!G:J,3,0),0)</f>
        <v>0</v>
      </c>
      <c r="Q82" t="str">
        <f>IFERROR(VLOOKUP(J82,'Tariff Master'!G:J,4,0),0)</f>
        <v>USD</v>
      </c>
      <c r="S82">
        <f t="shared" si="21"/>
        <v>37000</v>
      </c>
      <c r="T82">
        <f t="shared" si="22"/>
        <v>1</v>
      </c>
      <c r="U82">
        <f t="shared" si="23"/>
        <v>75</v>
      </c>
      <c r="V82" s="55">
        <f t="shared" si="19"/>
        <v>1284.6400000000001</v>
      </c>
      <c r="W82" s="56">
        <f t="shared" si="20"/>
        <v>9.6348000000000007E-3</v>
      </c>
    </row>
    <row r="83" spans="1:25" hidden="1" x14ac:dyDescent="0.3">
      <c r="A83" t="s">
        <v>214</v>
      </c>
      <c r="B83" t="s">
        <v>98</v>
      </c>
      <c r="C83" t="s">
        <v>260</v>
      </c>
      <c r="D83" t="s">
        <v>163</v>
      </c>
      <c r="E83" t="s">
        <v>3</v>
      </c>
      <c r="F83" t="s">
        <v>288</v>
      </c>
      <c r="G83" s="31">
        <v>1.1966559999999999</v>
      </c>
      <c r="H83" s="31">
        <v>0</v>
      </c>
      <c r="J83" t="str">
        <f t="shared" si="13"/>
        <v>KPCLGENERALCOASTALPilotage</v>
      </c>
      <c r="K83" s="50" t="str">
        <f t="shared" si="14"/>
        <v>KPCL</v>
      </c>
      <c r="L83" s="50" t="str">
        <f t="shared" si="15"/>
        <v>GENERAL</v>
      </c>
      <c r="M83" s="50" t="str">
        <f t="shared" si="16"/>
        <v>COASTAL</v>
      </c>
      <c r="N83" s="50" t="str">
        <f t="shared" si="17"/>
        <v>Pilotage</v>
      </c>
      <c r="O83" s="48">
        <f>IFERROR(VLOOKUP(J83,'Tariff Master'!G:J,2,0),0)</f>
        <v>1.1366560000000001</v>
      </c>
      <c r="P83">
        <f>IFERROR(VLOOKUP(J83,'Tariff Master'!G:J,3,0),0)</f>
        <v>0</v>
      </c>
      <c r="Q83" t="str">
        <f>IFERROR(VLOOKUP(J83,'Tariff Master'!G:J,4,0),0)</f>
        <v>USD</v>
      </c>
      <c r="S83">
        <f t="shared" si="21"/>
        <v>37000</v>
      </c>
      <c r="T83">
        <f t="shared" si="22"/>
        <v>1</v>
      </c>
      <c r="U83">
        <f t="shared" si="23"/>
        <v>75</v>
      </c>
      <c r="V83" s="55">
        <f t="shared" si="19"/>
        <v>42056.272000000004</v>
      </c>
      <c r="W83" s="56">
        <f t="shared" si="20"/>
        <v>0.31542204000000001</v>
      </c>
    </row>
    <row r="84" spans="1:25" hidden="1" x14ac:dyDescent="0.3">
      <c r="A84" t="s">
        <v>214</v>
      </c>
      <c r="B84" t="s">
        <v>98</v>
      </c>
      <c r="C84" t="s">
        <v>260</v>
      </c>
      <c r="D84" t="s">
        <v>163</v>
      </c>
      <c r="E84" t="s">
        <v>0</v>
      </c>
      <c r="F84" t="s">
        <v>289</v>
      </c>
      <c r="G84" s="31">
        <v>4.3344000000000001E-2</v>
      </c>
      <c r="H84" s="31">
        <v>0</v>
      </c>
      <c r="J84" t="str">
        <f t="shared" si="13"/>
        <v>KPCLGENERALCOASTALPort Dues</v>
      </c>
      <c r="K84" s="50" t="str">
        <f t="shared" si="14"/>
        <v>KPCL</v>
      </c>
      <c r="L84" s="50" t="str">
        <f t="shared" si="15"/>
        <v>GENERAL</v>
      </c>
      <c r="M84" s="50" t="str">
        <f t="shared" si="16"/>
        <v>COASTAL</v>
      </c>
      <c r="N84" s="50" t="str">
        <f t="shared" si="17"/>
        <v>Port Dues</v>
      </c>
      <c r="O84" s="48">
        <f>IFERROR(VLOOKUP(J84,'Tariff Master'!G:J,2,0),0)</f>
        <v>4.3344000000000001E-2</v>
      </c>
      <c r="P84">
        <f>IFERROR(VLOOKUP(J84,'Tariff Master'!G:J,3,0),0)</f>
        <v>0</v>
      </c>
      <c r="Q84" t="str">
        <f>IFERROR(VLOOKUP(J84,'Tariff Master'!G:J,4,0),0)</f>
        <v>USD</v>
      </c>
      <c r="S84">
        <f t="shared" si="21"/>
        <v>37000</v>
      </c>
      <c r="T84">
        <f t="shared" si="22"/>
        <v>1</v>
      </c>
      <c r="U84">
        <f t="shared" si="23"/>
        <v>75</v>
      </c>
      <c r="V84" s="55">
        <f t="shared" si="19"/>
        <v>1603.7280000000001</v>
      </c>
      <c r="W84" s="56">
        <f t="shared" si="20"/>
        <v>1.2027960000000001E-2</v>
      </c>
    </row>
    <row r="85" spans="1:25" hidden="1" x14ac:dyDescent="0.3">
      <c r="A85" t="s">
        <v>214</v>
      </c>
      <c r="B85" t="s">
        <v>98</v>
      </c>
      <c r="C85" t="s">
        <v>260</v>
      </c>
      <c r="D85" t="s">
        <v>163</v>
      </c>
      <c r="E85" t="s">
        <v>75</v>
      </c>
      <c r="F85" t="s">
        <v>290</v>
      </c>
      <c r="G85" s="31">
        <v>200</v>
      </c>
      <c r="H85" s="31">
        <v>0</v>
      </c>
      <c r="J85" t="str">
        <f t="shared" si="13"/>
        <v>KPCLGENERALCOASTALPort Env &amp; Safety</v>
      </c>
      <c r="K85" s="50" t="str">
        <f t="shared" si="14"/>
        <v>KPCL</v>
      </c>
      <c r="L85" s="50" t="str">
        <f t="shared" si="15"/>
        <v>GENERAL</v>
      </c>
      <c r="M85" s="50" t="str">
        <f t="shared" si="16"/>
        <v>COASTAL</v>
      </c>
      <c r="N85" s="50" t="str">
        <f t="shared" si="17"/>
        <v>Port Env &amp; Safety</v>
      </c>
      <c r="O85" s="48">
        <f>IFERROR(VLOOKUP(J85,'Tariff Master'!G:J,2,0),0)</f>
        <v>200</v>
      </c>
      <c r="P85">
        <f>IFERROR(VLOOKUP(J85,'Tariff Master'!G:J,3,0),0)</f>
        <v>0</v>
      </c>
      <c r="Q85" t="str">
        <f>IFERROR(VLOOKUP(J85,'Tariff Master'!G:J,4,0),0)</f>
        <v>USD</v>
      </c>
      <c r="S85">
        <f t="shared" si="21"/>
        <v>1</v>
      </c>
      <c r="T85">
        <f t="shared" si="22"/>
        <v>1</v>
      </c>
      <c r="U85">
        <f t="shared" si="23"/>
        <v>75</v>
      </c>
      <c r="V85" s="55">
        <f t="shared" si="19"/>
        <v>200</v>
      </c>
      <c r="W85" s="56">
        <f t="shared" si="20"/>
        <v>1.5E-3</v>
      </c>
    </row>
    <row r="86" spans="1:25" hidden="1" x14ac:dyDescent="0.3">
      <c r="A86" t="s">
        <v>214</v>
      </c>
      <c r="B86" t="s">
        <v>98</v>
      </c>
      <c r="C86" t="s">
        <v>260</v>
      </c>
      <c r="D86" t="s">
        <v>116</v>
      </c>
      <c r="E86" t="s">
        <v>7</v>
      </c>
      <c r="F86" t="s">
        <v>291</v>
      </c>
      <c r="G86" s="31">
        <v>7.0000000000000001E-3</v>
      </c>
      <c r="H86" s="31">
        <v>325</v>
      </c>
      <c r="J86" t="str">
        <f t="shared" si="13"/>
        <v>KPCLGENERALFOREIGNBerth Hire</v>
      </c>
      <c r="K86" s="50" t="str">
        <f t="shared" si="14"/>
        <v>KPCL</v>
      </c>
      <c r="L86" s="50" t="str">
        <f t="shared" si="15"/>
        <v>GENERAL</v>
      </c>
      <c r="M86" s="50" t="str">
        <f t="shared" si="16"/>
        <v>FOREIGN</v>
      </c>
      <c r="N86" s="50" t="str">
        <f t="shared" si="17"/>
        <v>Berth Hire</v>
      </c>
      <c r="O86" s="48">
        <f>IFERROR(VLOOKUP(J86,'Tariff Master'!G:J,2,0),0)</f>
        <v>7.0000000000000001E-3</v>
      </c>
      <c r="P86">
        <f>IFERROR(VLOOKUP(J86,'Tariff Master'!G:J,3,0),0)</f>
        <v>325</v>
      </c>
      <c r="Q86" t="str">
        <f>IFERROR(VLOOKUP(J86,'Tariff Master'!G:J,4,0),0)</f>
        <v>USD</v>
      </c>
      <c r="S86">
        <f t="shared" si="21"/>
        <v>37000</v>
      </c>
      <c r="T86">
        <f t="shared" si="22"/>
        <v>1</v>
      </c>
      <c r="U86">
        <f t="shared" si="23"/>
        <v>75</v>
      </c>
      <c r="V86" s="55">
        <f t="shared" si="19"/>
        <v>325</v>
      </c>
      <c r="W86" s="56">
        <f t="shared" si="20"/>
        <v>2.4375E-3</v>
      </c>
      <c r="Y86" s="60">
        <f t="shared" ref="Y86:Y88" si="24">W86*10^7</f>
        <v>24375</v>
      </c>
    </row>
    <row r="87" spans="1:25" hidden="1" x14ac:dyDescent="0.3">
      <c r="A87" t="s">
        <v>214</v>
      </c>
      <c r="B87" t="s">
        <v>98</v>
      </c>
      <c r="C87" t="s">
        <v>260</v>
      </c>
      <c r="D87" t="s">
        <v>116</v>
      </c>
      <c r="E87" t="s">
        <v>4</v>
      </c>
      <c r="F87" t="s">
        <v>292</v>
      </c>
      <c r="G87" s="31">
        <v>3.4720000000000001E-2</v>
      </c>
      <c r="H87" s="31">
        <v>0</v>
      </c>
      <c r="J87" t="str">
        <f t="shared" si="13"/>
        <v>KPCLGENERALFOREIGNMooring</v>
      </c>
      <c r="K87" s="50" t="str">
        <f t="shared" si="14"/>
        <v>KPCL</v>
      </c>
      <c r="L87" s="50" t="str">
        <f t="shared" si="15"/>
        <v>GENERAL</v>
      </c>
      <c r="M87" s="50" t="str">
        <f t="shared" si="16"/>
        <v>FOREIGN</v>
      </c>
      <c r="N87" s="50" t="str">
        <f t="shared" si="17"/>
        <v>Mooring</v>
      </c>
      <c r="O87" s="48">
        <f>IFERROR(VLOOKUP(J87,'Tariff Master'!G:J,2,0),0)</f>
        <v>3.4720000000000001E-2</v>
      </c>
      <c r="P87">
        <f>IFERROR(VLOOKUP(J87,'Tariff Master'!G:J,3,0),0)</f>
        <v>0</v>
      </c>
      <c r="Q87" t="str">
        <f>IFERROR(VLOOKUP(J87,'Tariff Master'!G:J,4,0),0)</f>
        <v>USD</v>
      </c>
      <c r="S87">
        <f t="shared" si="21"/>
        <v>37000</v>
      </c>
      <c r="T87">
        <f t="shared" si="22"/>
        <v>1</v>
      </c>
      <c r="U87">
        <f t="shared" si="23"/>
        <v>75</v>
      </c>
      <c r="V87" s="55">
        <f t="shared" si="19"/>
        <v>1284.6400000000001</v>
      </c>
      <c r="W87" s="56">
        <f t="shared" si="20"/>
        <v>9.6348000000000007E-3</v>
      </c>
      <c r="Y87" s="60">
        <f t="shared" si="24"/>
        <v>96348</v>
      </c>
    </row>
    <row r="88" spans="1:25" hidden="1" x14ac:dyDescent="0.3">
      <c r="A88" t="s">
        <v>214</v>
      </c>
      <c r="B88" t="s">
        <v>98</v>
      </c>
      <c r="C88" t="s">
        <v>260</v>
      </c>
      <c r="D88" t="s">
        <v>116</v>
      </c>
      <c r="E88" t="s">
        <v>3</v>
      </c>
      <c r="F88" t="s">
        <v>293</v>
      </c>
      <c r="G88" s="31">
        <v>1.2358199999999999</v>
      </c>
      <c r="H88" s="31">
        <v>0</v>
      </c>
      <c r="J88" t="str">
        <f t="shared" si="13"/>
        <v>KPCLGENERALFOREIGNPilotage</v>
      </c>
      <c r="K88" s="50" t="str">
        <f t="shared" si="14"/>
        <v>KPCL</v>
      </c>
      <c r="L88" s="50" t="str">
        <f t="shared" si="15"/>
        <v>GENERAL</v>
      </c>
      <c r="M88" s="50" t="str">
        <f t="shared" si="16"/>
        <v>FOREIGN</v>
      </c>
      <c r="N88" s="50" t="str">
        <f t="shared" si="17"/>
        <v>Pilotage</v>
      </c>
      <c r="O88" s="48">
        <f>IFERROR(VLOOKUP(J88,'Tariff Master'!G:J,2,0),0)</f>
        <v>1.2158199999999999</v>
      </c>
      <c r="P88">
        <f>IFERROR(VLOOKUP(J88,'Tariff Master'!G:J,3,0),0)</f>
        <v>0</v>
      </c>
      <c r="Q88" t="str">
        <f>IFERROR(VLOOKUP(J88,'Tariff Master'!G:J,4,0),0)</f>
        <v>USD</v>
      </c>
      <c r="S88">
        <f t="shared" si="21"/>
        <v>37000</v>
      </c>
      <c r="T88">
        <f t="shared" si="22"/>
        <v>1</v>
      </c>
      <c r="U88">
        <f t="shared" si="23"/>
        <v>75</v>
      </c>
      <c r="V88" s="55">
        <f t="shared" si="19"/>
        <v>44985.34</v>
      </c>
      <c r="W88" s="56">
        <f t="shared" si="20"/>
        <v>0.33739004999999994</v>
      </c>
      <c r="Y88" s="60">
        <f t="shared" si="24"/>
        <v>3373900.4999999995</v>
      </c>
    </row>
    <row r="89" spans="1:25" hidden="1" x14ac:dyDescent="0.3">
      <c r="A89" t="s">
        <v>214</v>
      </c>
      <c r="B89" t="s">
        <v>98</v>
      </c>
      <c r="C89" t="s">
        <v>260</v>
      </c>
      <c r="D89" t="s">
        <v>116</v>
      </c>
      <c r="E89" t="s">
        <v>0</v>
      </c>
      <c r="F89" t="s">
        <v>294</v>
      </c>
      <c r="G89" s="31">
        <v>5.4179999999999999E-2</v>
      </c>
      <c r="H89" s="31">
        <v>0</v>
      </c>
      <c r="J89" t="str">
        <f t="shared" si="13"/>
        <v>KPCLGENERALFOREIGNPort Dues</v>
      </c>
      <c r="K89" s="50" t="str">
        <f t="shared" si="14"/>
        <v>KPCL</v>
      </c>
      <c r="L89" s="50" t="str">
        <f t="shared" si="15"/>
        <v>GENERAL</v>
      </c>
      <c r="M89" s="50" t="str">
        <f t="shared" si="16"/>
        <v>FOREIGN</v>
      </c>
      <c r="N89" s="50" t="str">
        <f t="shared" si="17"/>
        <v>Port Dues</v>
      </c>
      <c r="O89" s="48">
        <f>IFERROR(VLOOKUP(J89,'Tariff Master'!G:J,2,0),0)</f>
        <v>5.4179999999999999E-2</v>
      </c>
      <c r="P89">
        <f>IFERROR(VLOOKUP(J89,'Tariff Master'!G:J,3,0),0)</f>
        <v>0</v>
      </c>
      <c r="Q89" t="str">
        <f>IFERROR(VLOOKUP(J89,'Tariff Master'!G:J,4,0),0)</f>
        <v>USD</v>
      </c>
      <c r="S89">
        <f t="shared" si="21"/>
        <v>37000</v>
      </c>
      <c r="T89">
        <f t="shared" si="22"/>
        <v>1</v>
      </c>
      <c r="U89">
        <f t="shared" si="23"/>
        <v>75</v>
      </c>
      <c r="V89" s="55">
        <f t="shared" si="19"/>
        <v>2004.6599999999999</v>
      </c>
      <c r="W89" s="56">
        <f t="shared" si="20"/>
        <v>1.503495E-2</v>
      </c>
      <c r="Y89" s="60">
        <f>W89*10^7</f>
        <v>150349.5</v>
      </c>
    </row>
    <row r="90" spans="1:25" hidden="1" x14ac:dyDescent="0.3">
      <c r="A90" t="s">
        <v>214</v>
      </c>
      <c r="B90" t="s">
        <v>98</v>
      </c>
      <c r="C90" t="s">
        <v>260</v>
      </c>
      <c r="D90" t="s">
        <v>116</v>
      </c>
      <c r="E90" t="s">
        <v>75</v>
      </c>
      <c r="F90" t="s">
        <v>295</v>
      </c>
      <c r="G90" s="31">
        <v>200</v>
      </c>
      <c r="H90" s="31">
        <v>0</v>
      </c>
      <c r="J90" t="str">
        <f t="shared" si="13"/>
        <v>KPCLGENERALFOREIGNPort Env &amp; Safety</v>
      </c>
      <c r="K90" s="50" t="str">
        <f t="shared" si="14"/>
        <v>KPCL</v>
      </c>
      <c r="L90" s="50" t="str">
        <f t="shared" si="15"/>
        <v>GENERAL</v>
      </c>
      <c r="M90" s="50" t="str">
        <f t="shared" si="16"/>
        <v>FOREIGN</v>
      </c>
      <c r="N90" s="50" t="str">
        <f t="shared" si="17"/>
        <v>Port Env &amp; Safety</v>
      </c>
      <c r="O90" s="48">
        <f>IFERROR(VLOOKUP(J90,'Tariff Master'!G:J,2,0),0)</f>
        <v>200</v>
      </c>
      <c r="P90">
        <f>IFERROR(VLOOKUP(J90,'Tariff Master'!G:J,3,0),0)</f>
        <v>0</v>
      </c>
      <c r="Q90" t="str">
        <f>IFERROR(VLOOKUP(J90,'Tariff Master'!G:J,4,0),0)</f>
        <v>USD</v>
      </c>
      <c r="S90">
        <f t="shared" si="21"/>
        <v>1</v>
      </c>
      <c r="T90">
        <f t="shared" si="22"/>
        <v>1</v>
      </c>
      <c r="U90">
        <f t="shared" si="23"/>
        <v>75</v>
      </c>
      <c r="V90" s="55">
        <f t="shared" si="19"/>
        <v>200</v>
      </c>
      <c r="W90" s="56">
        <f t="shared" si="20"/>
        <v>1.5E-3</v>
      </c>
      <c r="Y90" s="60">
        <f t="shared" ref="Y90" si="25">W90*10^7</f>
        <v>15000</v>
      </c>
    </row>
    <row r="91" spans="1:25" hidden="1" x14ac:dyDescent="0.3">
      <c r="A91" t="s">
        <v>214</v>
      </c>
      <c r="B91" t="s">
        <v>98</v>
      </c>
      <c r="C91" t="s">
        <v>323</v>
      </c>
      <c r="D91" t="s">
        <v>163</v>
      </c>
      <c r="E91" t="s">
        <v>7</v>
      </c>
      <c r="F91" t="s">
        <v>324</v>
      </c>
      <c r="G91" s="31">
        <v>3.1099999999999999E-3</v>
      </c>
      <c r="H91" s="31">
        <v>325</v>
      </c>
      <c r="J91" t="str">
        <f t="shared" si="13"/>
        <v>KPCLPROJECTCOASTALBerth Hire</v>
      </c>
      <c r="K91" s="50" t="str">
        <f t="shared" si="14"/>
        <v>KPCL</v>
      </c>
      <c r="L91" s="50" t="str">
        <f t="shared" si="15"/>
        <v>PROJECT</v>
      </c>
      <c r="M91" s="50" t="str">
        <f t="shared" si="16"/>
        <v>COASTAL</v>
      </c>
      <c r="N91" s="50" t="str">
        <f t="shared" si="17"/>
        <v>Berth Hire</v>
      </c>
      <c r="O91" s="48">
        <f>IFERROR(VLOOKUP(J91,'Tariff Master'!G:J,2,0),0)</f>
        <v>3.1099999999999999E-3</v>
      </c>
      <c r="P91">
        <f>IFERROR(VLOOKUP(J91,'Tariff Master'!G:J,3,0),0)</f>
        <v>325</v>
      </c>
      <c r="Q91" t="str">
        <f>IFERROR(VLOOKUP(J91,'Tariff Master'!G:J,4,0),0)</f>
        <v>USD</v>
      </c>
      <c r="S91">
        <f t="shared" si="21"/>
        <v>37000</v>
      </c>
      <c r="T91">
        <f t="shared" si="22"/>
        <v>1</v>
      </c>
      <c r="U91">
        <f t="shared" si="23"/>
        <v>75</v>
      </c>
      <c r="V91" s="55">
        <f t="shared" si="19"/>
        <v>325</v>
      </c>
      <c r="W91" s="56">
        <f t="shared" si="20"/>
        <v>2.4375E-3</v>
      </c>
    </row>
    <row r="92" spans="1:25" hidden="1" x14ac:dyDescent="0.3">
      <c r="A92" t="s">
        <v>214</v>
      </c>
      <c r="B92" t="s">
        <v>98</v>
      </c>
      <c r="C92" t="s">
        <v>323</v>
      </c>
      <c r="D92" t="s">
        <v>163</v>
      </c>
      <c r="E92" t="s">
        <v>4</v>
      </c>
      <c r="F92" t="s">
        <v>325</v>
      </c>
      <c r="G92" s="31">
        <v>3.4720000000000001E-2</v>
      </c>
      <c r="H92" s="31">
        <v>0</v>
      </c>
      <c r="J92" t="str">
        <f t="shared" si="13"/>
        <v>KPCLPROJECTCOASTALMooring</v>
      </c>
      <c r="K92" s="50" t="str">
        <f t="shared" si="14"/>
        <v>KPCL</v>
      </c>
      <c r="L92" s="50" t="str">
        <f t="shared" si="15"/>
        <v>PROJECT</v>
      </c>
      <c r="M92" s="50" t="str">
        <f t="shared" si="16"/>
        <v>COASTAL</v>
      </c>
      <c r="N92" s="50" t="str">
        <f t="shared" si="17"/>
        <v>Mooring</v>
      </c>
      <c r="O92" s="48">
        <f>IFERROR(VLOOKUP(J92,'Tariff Master'!G:J,2,0),0)</f>
        <v>3.4720000000000001E-2</v>
      </c>
      <c r="P92">
        <f>IFERROR(VLOOKUP(J92,'Tariff Master'!G:J,3,0),0)</f>
        <v>0</v>
      </c>
      <c r="Q92" t="str">
        <f>IFERROR(VLOOKUP(J92,'Tariff Master'!G:J,4,0),0)</f>
        <v>USD</v>
      </c>
      <c r="S92">
        <f t="shared" si="21"/>
        <v>37000</v>
      </c>
      <c r="T92">
        <f t="shared" si="22"/>
        <v>1</v>
      </c>
      <c r="U92">
        <f t="shared" si="23"/>
        <v>75</v>
      </c>
      <c r="V92" s="55">
        <f t="shared" si="19"/>
        <v>1284.6400000000001</v>
      </c>
      <c r="W92" s="56">
        <f t="shared" si="20"/>
        <v>9.6348000000000007E-3</v>
      </c>
    </row>
    <row r="93" spans="1:25" hidden="1" x14ac:dyDescent="0.3">
      <c r="A93" t="s">
        <v>214</v>
      </c>
      <c r="B93" t="s">
        <v>98</v>
      </c>
      <c r="C93" t="s">
        <v>323</v>
      </c>
      <c r="D93" t="s">
        <v>163</v>
      </c>
      <c r="E93" t="s">
        <v>3</v>
      </c>
      <c r="F93" t="s">
        <v>326</v>
      </c>
      <c r="G93" s="31">
        <v>0.74292000000000002</v>
      </c>
      <c r="H93" s="31"/>
      <c r="J93" t="str">
        <f t="shared" si="13"/>
        <v>KPCLPROJECTCOASTALPilotage</v>
      </c>
      <c r="K93" s="50" t="str">
        <f t="shared" si="14"/>
        <v>KPCL</v>
      </c>
      <c r="L93" s="50" t="str">
        <f t="shared" si="15"/>
        <v>PROJECT</v>
      </c>
      <c r="M93" s="50" t="str">
        <f t="shared" si="16"/>
        <v>COASTAL</v>
      </c>
      <c r="N93" s="50" t="str">
        <f t="shared" si="17"/>
        <v>Pilotage</v>
      </c>
      <c r="O93" s="48">
        <f>IFERROR(VLOOKUP(J93,'Tariff Master'!G:J,2,0),0)</f>
        <v>0.74292000000000002</v>
      </c>
      <c r="P93">
        <f>IFERROR(VLOOKUP(J93,'Tariff Master'!G:J,3,0),0)</f>
        <v>0</v>
      </c>
      <c r="Q93" t="str">
        <f>IFERROR(VLOOKUP(J93,'Tariff Master'!G:J,4,0),0)</f>
        <v>USD</v>
      </c>
      <c r="S93">
        <f t="shared" si="21"/>
        <v>37000</v>
      </c>
      <c r="T93">
        <f t="shared" si="22"/>
        <v>1</v>
      </c>
      <c r="U93">
        <f t="shared" si="23"/>
        <v>75</v>
      </c>
      <c r="V93" s="55">
        <f t="shared" si="19"/>
        <v>27488.04</v>
      </c>
      <c r="W93" s="56">
        <f t="shared" si="20"/>
        <v>0.20616029999999999</v>
      </c>
    </row>
    <row r="94" spans="1:25" hidden="1" x14ac:dyDescent="0.3">
      <c r="A94" t="s">
        <v>214</v>
      </c>
      <c r="B94" t="s">
        <v>98</v>
      </c>
      <c r="C94" t="s">
        <v>323</v>
      </c>
      <c r="D94" t="s">
        <v>163</v>
      </c>
      <c r="E94" t="s">
        <v>0</v>
      </c>
      <c r="F94" t="s">
        <v>327</v>
      </c>
      <c r="G94" s="31">
        <v>2.2179999999999998E-2</v>
      </c>
      <c r="H94" s="31">
        <v>0</v>
      </c>
      <c r="J94" t="str">
        <f t="shared" si="13"/>
        <v>KPCLPROJECTCOASTALPort Dues</v>
      </c>
      <c r="K94" s="50" t="str">
        <f t="shared" si="14"/>
        <v>KPCL</v>
      </c>
      <c r="L94" s="50" t="str">
        <f t="shared" si="15"/>
        <v>PROJECT</v>
      </c>
      <c r="M94" s="50" t="str">
        <f t="shared" si="16"/>
        <v>COASTAL</v>
      </c>
      <c r="N94" s="50" t="str">
        <f t="shared" si="17"/>
        <v>Port Dues</v>
      </c>
      <c r="O94" s="48">
        <f>IFERROR(VLOOKUP(J94,'Tariff Master'!G:J,2,0),0)</f>
        <v>2.2179999999999998E-2</v>
      </c>
      <c r="P94">
        <f>IFERROR(VLOOKUP(J94,'Tariff Master'!G:J,3,0),0)</f>
        <v>0</v>
      </c>
      <c r="Q94" t="str">
        <f>IFERROR(VLOOKUP(J94,'Tariff Master'!G:J,4,0),0)</f>
        <v>USD</v>
      </c>
      <c r="S94">
        <f t="shared" si="21"/>
        <v>37000</v>
      </c>
      <c r="T94">
        <f t="shared" si="22"/>
        <v>1</v>
      </c>
      <c r="U94">
        <f t="shared" si="23"/>
        <v>75</v>
      </c>
      <c r="V94" s="55">
        <f t="shared" si="19"/>
        <v>820.66</v>
      </c>
      <c r="W94" s="56">
        <f t="shared" si="20"/>
        <v>6.1549500000000002E-3</v>
      </c>
    </row>
    <row r="95" spans="1:25" hidden="1" x14ac:dyDescent="0.3">
      <c r="A95" t="s">
        <v>214</v>
      </c>
      <c r="B95" t="s">
        <v>98</v>
      </c>
      <c r="C95" t="s">
        <v>323</v>
      </c>
      <c r="D95" t="s">
        <v>163</v>
      </c>
      <c r="E95" t="s">
        <v>75</v>
      </c>
      <c r="F95" t="s">
        <v>328</v>
      </c>
      <c r="G95" s="31">
        <v>200</v>
      </c>
      <c r="H95" s="31">
        <v>0</v>
      </c>
      <c r="J95" t="str">
        <f t="shared" si="13"/>
        <v>KPCLPROJECTCOASTALPort Env &amp; Safety</v>
      </c>
      <c r="K95" s="50" t="str">
        <f t="shared" si="14"/>
        <v>KPCL</v>
      </c>
      <c r="L95" s="50" t="str">
        <f t="shared" si="15"/>
        <v>PROJECT</v>
      </c>
      <c r="M95" s="50" t="str">
        <f t="shared" si="16"/>
        <v>COASTAL</v>
      </c>
      <c r="N95" s="50" t="str">
        <f t="shared" si="17"/>
        <v>Port Env &amp; Safety</v>
      </c>
      <c r="O95" s="48">
        <f>IFERROR(VLOOKUP(J95,'Tariff Master'!G:J,2,0),0)</f>
        <v>200</v>
      </c>
      <c r="P95">
        <f>IFERROR(VLOOKUP(J95,'Tariff Master'!G:J,3,0),0)</f>
        <v>0</v>
      </c>
      <c r="Q95" t="str">
        <f>IFERROR(VLOOKUP(J95,'Tariff Master'!G:J,4,0),0)</f>
        <v>USD</v>
      </c>
      <c r="S95">
        <f t="shared" si="21"/>
        <v>1</v>
      </c>
      <c r="T95">
        <f t="shared" si="22"/>
        <v>1</v>
      </c>
      <c r="U95">
        <f t="shared" si="23"/>
        <v>75</v>
      </c>
      <c r="V95" s="55">
        <f t="shared" si="19"/>
        <v>200</v>
      </c>
      <c r="W95" s="56">
        <f t="shared" si="20"/>
        <v>1.5E-3</v>
      </c>
    </row>
    <row r="96" spans="1:25" hidden="1" x14ac:dyDescent="0.3">
      <c r="A96" t="s">
        <v>214</v>
      </c>
      <c r="B96" t="s">
        <v>98</v>
      </c>
      <c r="C96" t="s">
        <v>323</v>
      </c>
      <c r="D96" t="s">
        <v>116</v>
      </c>
      <c r="E96" t="s">
        <v>7</v>
      </c>
      <c r="F96" t="s">
        <v>329</v>
      </c>
      <c r="G96" s="31">
        <v>3.1099999999999999E-3</v>
      </c>
      <c r="H96" s="31">
        <v>325</v>
      </c>
      <c r="J96" t="str">
        <f t="shared" si="13"/>
        <v>KPCLPROJECTFOREIGNBerth Hire</v>
      </c>
      <c r="K96" s="50" t="str">
        <f t="shared" si="14"/>
        <v>KPCL</v>
      </c>
      <c r="L96" s="50" t="str">
        <f t="shared" si="15"/>
        <v>PROJECT</v>
      </c>
      <c r="M96" s="50" t="str">
        <f t="shared" si="16"/>
        <v>FOREIGN</v>
      </c>
      <c r="N96" s="50" t="str">
        <f t="shared" si="17"/>
        <v>Berth Hire</v>
      </c>
      <c r="O96" s="48">
        <f>IFERROR(VLOOKUP(J96,'Tariff Master'!G:J,2,0),0)</f>
        <v>3.1099999999999999E-3</v>
      </c>
      <c r="P96">
        <f>IFERROR(VLOOKUP(J96,'Tariff Master'!G:J,3,0),0)</f>
        <v>325</v>
      </c>
      <c r="Q96" t="str">
        <f>IFERROR(VLOOKUP(J96,'Tariff Master'!G:J,4,0),0)</f>
        <v>USD</v>
      </c>
      <c r="S96">
        <f t="shared" si="21"/>
        <v>37000</v>
      </c>
      <c r="T96">
        <f t="shared" si="22"/>
        <v>1</v>
      </c>
      <c r="U96">
        <f t="shared" si="23"/>
        <v>75</v>
      </c>
      <c r="V96" s="55">
        <f t="shared" si="19"/>
        <v>325</v>
      </c>
      <c r="W96" s="56">
        <f t="shared" si="20"/>
        <v>2.4375E-3</v>
      </c>
    </row>
    <row r="97" spans="1:23" hidden="1" x14ac:dyDescent="0.3">
      <c r="A97" t="s">
        <v>214</v>
      </c>
      <c r="B97" t="s">
        <v>98</v>
      </c>
      <c r="C97" t="s">
        <v>323</v>
      </c>
      <c r="D97" t="s">
        <v>116</v>
      </c>
      <c r="E97" t="s">
        <v>4</v>
      </c>
      <c r="F97" t="s">
        <v>330</v>
      </c>
      <c r="G97" s="31">
        <v>3.4720000000000001E-2</v>
      </c>
      <c r="H97" s="31">
        <v>0</v>
      </c>
      <c r="J97" t="str">
        <f t="shared" si="13"/>
        <v>KPCLPROJECTFOREIGNMooring</v>
      </c>
      <c r="K97" s="50" t="str">
        <f t="shared" si="14"/>
        <v>KPCL</v>
      </c>
      <c r="L97" s="50" t="str">
        <f t="shared" si="15"/>
        <v>PROJECT</v>
      </c>
      <c r="M97" s="50" t="str">
        <f t="shared" si="16"/>
        <v>FOREIGN</v>
      </c>
      <c r="N97" s="50" t="str">
        <f t="shared" si="17"/>
        <v>Mooring</v>
      </c>
      <c r="O97" s="48">
        <f>IFERROR(VLOOKUP(J97,'Tariff Master'!G:J,2,0),0)</f>
        <v>3.4720000000000001E-2</v>
      </c>
      <c r="P97">
        <f>IFERROR(VLOOKUP(J97,'Tariff Master'!G:J,3,0),0)</f>
        <v>0</v>
      </c>
      <c r="Q97" t="str">
        <f>IFERROR(VLOOKUP(J97,'Tariff Master'!G:J,4,0),0)</f>
        <v>USD</v>
      </c>
      <c r="S97">
        <f t="shared" si="21"/>
        <v>37000</v>
      </c>
      <c r="T97">
        <f t="shared" si="22"/>
        <v>1</v>
      </c>
      <c r="U97">
        <f t="shared" si="23"/>
        <v>75</v>
      </c>
      <c r="V97" s="55">
        <f t="shared" si="19"/>
        <v>1284.6400000000001</v>
      </c>
      <c r="W97" s="56">
        <f t="shared" si="20"/>
        <v>9.6348000000000007E-3</v>
      </c>
    </row>
    <row r="98" spans="1:23" hidden="1" x14ac:dyDescent="0.3">
      <c r="A98" t="s">
        <v>214</v>
      </c>
      <c r="B98" t="s">
        <v>98</v>
      </c>
      <c r="C98" t="s">
        <v>323</v>
      </c>
      <c r="D98" t="s">
        <v>116</v>
      </c>
      <c r="E98" t="s">
        <v>3</v>
      </c>
      <c r="F98" t="s">
        <v>331</v>
      </c>
      <c r="G98" s="31">
        <v>0.74292000000000002</v>
      </c>
      <c r="H98" s="31"/>
      <c r="J98" t="str">
        <f t="shared" si="13"/>
        <v>KPCLPROJECTFOREIGNPilotage</v>
      </c>
      <c r="K98" s="50" t="str">
        <f t="shared" si="14"/>
        <v>KPCL</v>
      </c>
      <c r="L98" s="50" t="str">
        <f t="shared" si="15"/>
        <v>PROJECT</v>
      </c>
      <c r="M98" s="50" t="str">
        <f t="shared" si="16"/>
        <v>FOREIGN</v>
      </c>
      <c r="N98" s="50" t="str">
        <f t="shared" si="17"/>
        <v>Pilotage</v>
      </c>
      <c r="O98" s="48">
        <f>IFERROR(VLOOKUP(J98,'Tariff Master'!G:J,2,0),0)</f>
        <v>0.74292000000000002</v>
      </c>
      <c r="P98">
        <f>IFERROR(VLOOKUP(J98,'Tariff Master'!G:J,3,0),0)</f>
        <v>0</v>
      </c>
      <c r="Q98" t="str">
        <f>IFERROR(VLOOKUP(J98,'Tariff Master'!G:J,4,0),0)</f>
        <v>USD</v>
      </c>
      <c r="S98">
        <f t="shared" si="21"/>
        <v>37000</v>
      </c>
      <c r="T98">
        <f t="shared" si="22"/>
        <v>1</v>
      </c>
      <c r="U98">
        <f t="shared" si="23"/>
        <v>75</v>
      </c>
      <c r="V98" s="55">
        <f t="shared" si="19"/>
        <v>27488.04</v>
      </c>
      <c r="W98" s="56">
        <f t="shared" si="20"/>
        <v>0.20616029999999999</v>
      </c>
    </row>
    <row r="99" spans="1:23" hidden="1" x14ac:dyDescent="0.3">
      <c r="A99" t="s">
        <v>214</v>
      </c>
      <c r="B99" t="s">
        <v>98</v>
      </c>
      <c r="C99" t="s">
        <v>323</v>
      </c>
      <c r="D99" t="s">
        <v>116</v>
      </c>
      <c r="E99" t="s">
        <v>0</v>
      </c>
      <c r="F99" t="s">
        <v>332</v>
      </c>
      <c r="G99" s="31">
        <v>2.2179999999999998E-2</v>
      </c>
      <c r="H99" s="31">
        <v>0</v>
      </c>
      <c r="J99" t="str">
        <f t="shared" si="13"/>
        <v>KPCLPROJECTFOREIGNPort Dues</v>
      </c>
      <c r="K99" s="50" t="str">
        <f t="shared" si="14"/>
        <v>KPCL</v>
      </c>
      <c r="L99" s="50" t="str">
        <f t="shared" si="15"/>
        <v>PROJECT</v>
      </c>
      <c r="M99" s="50" t="str">
        <f t="shared" si="16"/>
        <v>FOREIGN</v>
      </c>
      <c r="N99" s="50" t="str">
        <f t="shared" si="17"/>
        <v>Port Dues</v>
      </c>
      <c r="O99" s="48">
        <f>IFERROR(VLOOKUP(J99,'Tariff Master'!G:J,2,0),0)</f>
        <v>2.2179999999999998E-2</v>
      </c>
      <c r="P99">
        <f>IFERROR(VLOOKUP(J99,'Tariff Master'!G:J,3,0),0)</f>
        <v>0</v>
      </c>
      <c r="Q99" t="str">
        <f>IFERROR(VLOOKUP(J99,'Tariff Master'!G:J,4,0),0)</f>
        <v>USD</v>
      </c>
      <c r="S99">
        <f t="shared" si="21"/>
        <v>37000</v>
      </c>
      <c r="T99">
        <f t="shared" si="22"/>
        <v>1</v>
      </c>
      <c r="U99">
        <f t="shared" si="23"/>
        <v>75</v>
      </c>
      <c r="V99" s="55">
        <f t="shared" si="19"/>
        <v>820.66</v>
      </c>
      <c r="W99" s="56">
        <f t="shared" si="20"/>
        <v>6.1549500000000002E-3</v>
      </c>
    </row>
    <row r="100" spans="1:23" hidden="1" x14ac:dyDescent="0.3">
      <c r="A100" t="s">
        <v>214</v>
      </c>
      <c r="B100" t="s">
        <v>98</v>
      </c>
      <c r="C100" t="s">
        <v>323</v>
      </c>
      <c r="D100" t="s">
        <v>116</v>
      </c>
      <c r="E100" t="s">
        <v>75</v>
      </c>
      <c r="F100" t="s">
        <v>333</v>
      </c>
      <c r="G100" s="31">
        <v>200</v>
      </c>
      <c r="H100" s="31">
        <v>0</v>
      </c>
      <c r="J100" t="str">
        <f t="shared" si="13"/>
        <v>KPCLPROJECTFOREIGNPort Env &amp; Safety</v>
      </c>
      <c r="K100" s="50" t="str">
        <f t="shared" si="14"/>
        <v>KPCL</v>
      </c>
      <c r="L100" s="50" t="str">
        <f t="shared" si="15"/>
        <v>PROJECT</v>
      </c>
      <c r="M100" s="50" t="str">
        <f t="shared" si="16"/>
        <v>FOREIGN</v>
      </c>
      <c r="N100" s="50" t="str">
        <f t="shared" si="17"/>
        <v>Port Env &amp; Safety</v>
      </c>
      <c r="O100" s="48">
        <f>IFERROR(VLOOKUP(J100,'Tariff Master'!G:J,2,0),0)</f>
        <v>200</v>
      </c>
      <c r="P100">
        <f>IFERROR(VLOOKUP(J100,'Tariff Master'!G:J,3,0),0)</f>
        <v>0</v>
      </c>
      <c r="Q100" t="str">
        <f>IFERROR(VLOOKUP(J100,'Tariff Master'!G:J,4,0),0)</f>
        <v>USD</v>
      </c>
      <c r="S100">
        <f t="shared" si="21"/>
        <v>1</v>
      </c>
      <c r="T100">
        <f t="shared" si="22"/>
        <v>1</v>
      </c>
      <c r="U100">
        <f t="shared" si="23"/>
        <v>75</v>
      </c>
      <c r="V100" s="55">
        <f t="shared" si="19"/>
        <v>200</v>
      </c>
      <c r="W100" s="56">
        <f t="shared" si="20"/>
        <v>1.5E-3</v>
      </c>
    </row>
    <row r="101" spans="1:23" hidden="1" x14ac:dyDescent="0.3">
      <c r="A101" t="s">
        <v>214</v>
      </c>
      <c r="B101" t="s">
        <v>78</v>
      </c>
      <c r="C101" t="s">
        <v>260</v>
      </c>
      <c r="D101" t="s">
        <v>116</v>
      </c>
      <c r="E101" t="s">
        <v>7</v>
      </c>
      <c r="F101" t="s">
        <v>296</v>
      </c>
      <c r="G101" s="31">
        <v>9.1350000000000008E-3</v>
      </c>
      <c r="H101" s="31">
        <v>640</v>
      </c>
      <c r="J101" t="str">
        <f t="shared" si="13"/>
        <v>MUNDRAGENERALFOREIGNBerth Hire</v>
      </c>
      <c r="K101" s="50" t="str">
        <f t="shared" si="14"/>
        <v>MUNDRA</v>
      </c>
      <c r="L101" s="50" t="str">
        <f t="shared" si="15"/>
        <v>GENERAL</v>
      </c>
      <c r="M101" s="50" t="str">
        <f t="shared" si="16"/>
        <v>FOREIGN</v>
      </c>
      <c r="N101" s="50" t="str">
        <f t="shared" si="17"/>
        <v>Berth Hire</v>
      </c>
      <c r="O101" s="48">
        <f>IFERROR(VLOOKUP(J101,'Tariff Master'!G:J,2,0),0)</f>
        <v>9.1350000000000008E-3</v>
      </c>
      <c r="P101">
        <f>IFERROR(VLOOKUP(J101,'Tariff Master'!G:J,3,0),0)</f>
        <v>640</v>
      </c>
      <c r="Q101" t="str">
        <f>IFERROR(VLOOKUP(J101,'Tariff Master'!G:J,4,0),0)</f>
        <v>USD</v>
      </c>
      <c r="S101">
        <f t="shared" si="21"/>
        <v>37000</v>
      </c>
      <c r="T101">
        <f t="shared" si="22"/>
        <v>1</v>
      </c>
      <c r="U101">
        <f t="shared" si="23"/>
        <v>75</v>
      </c>
      <c r="V101" s="55">
        <f t="shared" si="19"/>
        <v>640</v>
      </c>
      <c r="W101" s="56">
        <f t="shared" si="20"/>
        <v>4.7999999999999996E-3</v>
      </c>
    </row>
    <row r="102" spans="1:23" hidden="1" x14ac:dyDescent="0.3">
      <c r="A102" t="s">
        <v>214</v>
      </c>
      <c r="B102" t="s">
        <v>78</v>
      </c>
      <c r="C102" t="s">
        <v>260</v>
      </c>
      <c r="D102" t="s">
        <v>116</v>
      </c>
      <c r="E102" t="s">
        <v>4</v>
      </c>
      <c r="F102" t="s">
        <v>297</v>
      </c>
      <c r="G102" s="31">
        <v>3.4720000000000001E-2</v>
      </c>
      <c r="H102" s="31">
        <v>200</v>
      </c>
      <c r="J102" t="str">
        <f t="shared" si="13"/>
        <v>MUNDRAGENERALFOREIGNMooring</v>
      </c>
      <c r="K102" s="50" t="str">
        <f t="shared" si="14"/>
        <v>MUNDRA</v>
      </c>
      <c r="L102" s="50" t="str">
        <f t="shared" si="15"/>
        <v>GENERAL</v>
      </c>
      <c r="M102" s="50" t="str">
        <f t="shared" si="16"/>
        <v>FOREIGN</v>
      </c>
      <c r="N102" s="50" t="str">
        <f t="shared" si="17"/>
        <v>Mooring</v>
      </c>
      <c r="O102" s="48">
        <f>IFERROR(VLOOKUP(J102,'Tariff Master'!G:J,2,0),0)</f>
        <v>3.4720000000000001E-2</v>
      </c>
      <c r="P102">
        <f>IFERROR(VLOOKUP(J102,'Tariff Master'!G:J,3,0),0)</f>
        <v>200</v>
      </c>
      <c r="Q102" t="str">
        <f>IFERROR(VLOOKUP(J102,'Tariff Master'!G:J,4,0),0)</f>
        <v>USD</v>
      </c>
      <c r="S102">
        <f t="shared" si="21"/>
        <v>37000</v>
      </c>
      <c r="T102">
        <f t="shared" si="22"/>
        <v>1</v>
      </c>
      <c r="U102">
        <f t="shared" si="23"/>
        <v>75</v>
      </c>
      <c r="V102" s="55">
        <f t="shared" si="19"/>
        <v>1284.6400000000001</v>
      </c>
      <c r="W102" s="56">
        <f t="shared" si="20"/>
        <v>9.6348000000000007E-3</v>
      </c>
    </row>
    <row r="103" spans="1:23" hidden="1" x14ac:dyDescent="0.3">
      <c r="A103" t="s">
        <v>214</v>
      </c>
      <c r="B103" t="s">
        <v>78</v>
      </c>
      <c r="C103" t="s">
        <v>260</v>
      </c>
      <c r="D103" t="s">
        <v>116</v>
      </c>
      <c r="E103" t="s">
        <v>3</v>
      </c>
      <c r="F103" t="s">
        <v>298</v>
      </c>
      <c r="G103" s="31">
        <v>0.82530000000000003</v>
      </c>
      <c r="H103" s="31">
        <v>13125</v>
      </c>
      <c r="J103" t="str">
        <f t="shared" si="13"/>
        <v>MUNDRAGENERALFOREIGNPilotage</v>
      </c>
      <c r="K103" s="50" t="str">
        <f t="shared" si="14"/>
        <v>MUNDRA</v>
      </c>
      <c r="L103" s="50" t="str">
        <f t="shared" si="15"/>
        <v>GENERAL</v>
      </c>
      <c r="M103" s="50" t="str">
        <f t="shared" si="16"/>
        <v>FOREIGN</v>
      </c>
      <c r="N103" s="50" t="str">
        <f t="shared" si="17"/>
        <v>Pilotage</v>
      </c>
      <c r="O103" s="48">
        <f>IFERROR(VLOOKUP(J103,'Tariff Master'!G:J,2,0),0)</f>
        <v>0.82530000000000003</v>
      </c>
      <c r="P103">
        <f>IFERROR(VLOOKUP(J103,'Tariff Master'!G:J,3,0),0)</f>
        <v>13125</v>
      </c>
      <c r="Q103" t="str">
        <f>IFERROR(VLOOKUP(J103,'Tariff Master'!G:J,4,0),0)</f>
        <v>USD</v>
      </c>
      <c r="S103">
        <f t="shared" si="21"/>
        <v>37000</v>
      </c>
      <c r="T103">
        <f t="shared" si="22"/>
        <v>1</v>
      </c>
      <c r="U103">
        <f t="shared" si="23"/>
        <v>75</v>
      </c>
      <c r="V103" s="55">
        <f t="shared" si="19"/>
        <v>30536.100000000002</v>
      </c>
      <c r="W103" s="56">
        <f t="shared" si="20"/>
        <v>0.22902075</v>
      </c>
    </row>
    <row r="104" spans="1:23" hidden="1" x14ac:dyDescent="0.3">
      <c r="A104" t="s">
        <v>214</v>
      </c>
      <c r="B104" t="s">
        <v>78</v>
      </c>
      <c r="C104" t="s">
        <v>260</v>
      </c>
      <c r="D104" t="s">
        <v>116</v>
      </c>
      <c r="E104" t="s">
        <v>0</v>
      </c>
      <c r="F104" t="s">
        <v>299</v>
      </c>
      <c r="G104" s="31">
        <v>5.4179999999999999E-2</v>
      </c>
      <c r="H104" s="31">
        <v>275</v>
      </c>
      <c r="J104" t="str">
        <f t="shared" si="13"/>
        <v>MUNDRAGENERALFOREIGNPort Dues</v>
      </c>
      <c r="K104" s="50" t="str">
        <f t="shared" si="14"/>
        <v>MUNDRA</v>
      </c>
      <c r="L104" s="50" t="str">
        <f t="shared" si="15"/>
        <v>GENERAL</v>
      </c>
      <c r="M104" s="50" t="str">
        <f t="shared" si="16"/>
        <v>FOREIGN</v>
      </c>
      <c r="N104" s="50" t="str">
        <f t="shared" si="17"/>
        <v>Port Dues</v>
      </c>
      <c r="O104" s="48">
        <f>IFERROR(VLOOKUP(J104,'Tariff Master'!G:J,2,0),0)</f>
        <v>5.4179999999999999E-2</v>
      </c>
      <c r="P104">
        <f>IFERROR(VLOOKUP(J104,'Tariff Master'!G:J,3,0),0)</f>
        <v>275</v>
      </c>
      <c r="Q104" t="str">
        <f>IFERROR(VLOOKUP(J104,'Tariff Master'!G:J,4,0),0)</f>
        <v>USD</v>
      </c>
      <c r="S104">
        <f t="shared" si="21"/>
        <v>37000</v>
      </c>
      <c r="T104">
        <f t="shared" si="22"/>
        <v>1</v>
      </c>
      <c r="U104">
        <f t="shared" si="23"/>
        <v>75</v>
      </c>
      <c r="V104" s="55">
        <f t="shared" si="19"/>
        <v>2004.6599999999999</v>
      </c>
      <c r="W104" s="56">
        <f t="shared" si="20"/>
        <v>1.503495E-2</v>
      </c>
    </row>
    <row r="105" spans="1:23" hidden="1" x14ac:dyDescent="0.3">
      <c r="A105" t="s">
        <v>214</v>
      </c>
      <c r="B105" t="s">
        <v>78</v>
      </c>
      <c r="C105" t="s">
        <v>260</v>
      </c>
      <c r="D105" t="s">
        <v>116</v>
      </c>
      <c r="E105" t="s">
        <v>75</v>
      </c>
      <c r="F105" t="s">
        <v>300</v>
      </c>
      <c r="G105" s="31">
        <v>200</v>
      </c>
      <c r="H105" s="31">
        <v>0</v>
      </c>
      <c r="J105" t="str">
        <f t="shared" si="13"/>
        <v>MUNDRAGENERALFOREIGNPort Env &amp; Safety</v>
      </c>
      <c r="K105" s="50" t="str">
        <f t="shared" si="14"/>
        <v>MUNDRA</v>
      </c>
      <c r="L105" s="50" t="str">
        <f t="shared" si="15"/>
        <v>GENERAL</v>
      </c>
      <c r="M105" s="50" t="str">
        <f t="shared" si="16"/>
        <v>FOREIGN</v>
      </c>
      <c r="N105" s="50" t="str">
        <f t="shared" si="17"/>
        <v>Port Env &amp; Safety</v>
      </c>
      <c r="O105" s="48">
        <f>IFERROR(VLOOKUP(J105,'Tariff Master'!G:J,2,0),0)</f>
        <v>200</v>
      </c>
      <c r="P105">
        <f>IFERROR(VLOOKUP(J105,'Tariff Master'!G:J,3,0),0)</f>
        <v>0</v>
      </c>
      <c r="Q105" t="str">
        <f>IFERROR(VLOOKUP(J105,'Tariff Master'!G:J,4,0),0)</f>
        <v>USD</v>
      </c>
      <c r="S105">
        <f t="shared" si="21"/>
        <v>1</v>
      </c>
      <c r="T105">
        <f t="shared" si="22"/>
        <v>1</v>
      </c>
      <c r="U105">
        <f t="shared" si="23"/>
        <v>75</v>
      </c>
      <c r="V105" s="55">
        <f t="shared" si="19"/>
        <v>200</v>
      </c>
      <c r="W105" s="56">
        <f t="shared" si="20"/>
        <v>1.5E-3</v>
      </c>
    </row>
    <row r="106" spans="1:23" hidden="1" x14ac:dyDescent="0.3">
      <c r="A106" t="s">
        <v>215</v>
      </c>
      <c r="B106" t="s">
        <v>109</v>
      </c>
      <c r="C106" t="s">
        <v>115</v>
      </c>
      <c r="D106" t="s">
        <v>116</v>
      </c>
      <c r="E106" t="s">
        <v>7</v>
      </c>
      <c r="F106" t="s">
        <v>244</v>
      </c>
      <c r="G106" s="31">
        <v>1.7600000000000001E-2</v>
      </c>
      <c r="H106" s="31">
        <v>0</v>
      </c>
      <c r="J106" t="str">
        <f t="shared" si="13"/>
        <v>ENNORECONTAINERFOREIGNBerth Hire</v>
      </c>
      <c r="K106" s="50" t="str">
        <f t="shared" si="14"/>
        <v>ENNORE</v>
      </c>
      <c r="L106" s="50" t="str">
        <f t="shared" si="15"/>
        <v>CONTAINER</v>
      </c>
      <c r="M106" s="50" t="str">
        <f t="shared" si="16"/>
        <v>FOREIGN</v>
      </c>
      <c r="N106" s="50" t="str">
        <f t="shared" si="17"/>
        <v>Berth Hire</v>
      </c>
      <c r="O106" s="48">
        <f>IFERROR(VLOOKUP(J106,'Tariff Master'!G:J,2,0),0)</f>
        <v>1.7600000000000001E-2</v>
      </c>
      <c r="P106">
        <f>IFERROR(VLOOKUP(J106,'Tariff Master'!G:J,3,0),0)</f>
        <v>0</v>
      </c>
      <c r="Q106" t="str">
        <f>IFERROR(VLOOKUP(J106,'Tariff Master'!G:J,4,0),0)</f>
        <v>USD</v>
      </c>
      <c r="S106">
        <f t="shared" si="21"/>
        <v>37000</v>
      </c>
      <c r="T106">
        <f t="shared" si="22"/>
        <v>1</v>
      </c>
      <c r="U106">
        <f t="shared" si="23"/>
        <v>75</v>
      </c>
      <c r="V106" s="55">
        <f t="shared" si="19"/>
        <v>651.20000000000005</v>
      </c>
      <c r="W106" s="56">
        <f t="shared" si="20"/>
        <v>4.8840000000000003E-3</v>
      </c>
    </row>
    <row r="107" spans="1:23" hidden="1" x14ac:dyDescent="0.3">
      <c r="A107" t="s">
        <v>215</v>
      </c>
      <c r="B107" t="s">
        <v>108</v>
      </c>
      <c r="C107" t="s">
        <v>114</v>
      </c>
      <c r="D107" t="s">
        <v>116</v>
      </c>
      <c r="E107" t="s">
        <v>7</v>
      </c>
      <c r="F107" t="s">
        <v>245</v>
      </c>
      <c r="G107" s="31">
        <v>0.7</v>
      </c>
      <c r="H107" s="31">
        <v>0</v>
      </c>
      <c r="J107" t="str">
        <f t="shared" si="13"/>
        <v>GOADRYFOREIGNBerth Hire</v>
      </c>
      <c r="K107" s="50" t="str">
        <f t="shared" si="14"/>
        <v>GOA</v>
      </c>
      <c r="L107" s="50" t="str">
        <f t="shared" si="15"/>
        <v>DRY</v>
      </c>
      <c r="M107" s="50" t="str">
        <f t="shared" si="16"/>
        <v>FOREIGN</v>
      </c>
      <c r="N107" s="50" t="str">
        <f t="shared" si="17"/>
        <v>Berth Hire</v>
      </c>
      <c r="O107" s="48">
        <f>IFERROR(VLOOKUP(J107,'Tariff Master'!G:J,2,0),0)</f>
        <v>0.7</v>
      </c>
      <c r="P107">
        <f>IFERROR(VLOOKUP(J107,'Tariff Master'!G:J,3,0),0)</f>
        <v>0</v>
      </c>
      <c r="Q107" t="str">
        <f>IFERROR(VLOOKUP(J107,'Tariff Master'!G:J,4,0),0)</f>
        <v>INR</v>
      </c>
      <c r="S107">
        <f t="shared" si="21"/>
        <v>37000</v>
      </c>
      <c r="T107">
        <f t="shared" si="22"/>
        <v>1</v>
      </c>
      <c r="U107">
        <f t="shared" si="23"/>
        <v>75</v>
      </c>
      <c r="V107" s="55">
        <f t="shared" si="19"/>
        <v>25900</v>
      </c>
      <c r="W107" s="56">
        <f t="shared" si="20"/>
        <v>0.19425000000000001</v>
      </c>
    </row>
    <row r="108" spans="1:23" hidden="1" x14ac:dyDescent="0.3">
      <c r="A108" t="s">
        <v>215</v>
      </c>
      <c r="B108" t="s">
        <v>107</v>
      </c>
      <c r="C108" t="s">
        <v>114</v>
      </c>
      <c r="D108" t="s">
        <v>116</v>
      </c>
      <c r="E108" t="s">
        <v>7</v>
      </c>
      <c r="F108" t="s">
        <v>246</v>
      </c>
      <c r="G108" s="31">
        <v>0.65</v>
      </c>
      <c r="H108" s="31">
        <v>0</v>
      </c>
      <c r="J108" t="str">
        <f t="shared" si="13"/>
        <v>TUNADRYFOREIGNBerth Hire</v>
      </c>
      <c r="K108" s="50" t="str">
        <f t="shared" si="14"/>
        <v>TUNA</v>
      </c>
      <c r="L108" s="50" t="str">
        <f t="shared" si="15"/>
        <v>DRY</v>
      </c>
      <c r="M108" s="50" t="str">
        <f t="shared" si="16"/>
        <v>FOREIGN</v>
      </c>
      <c r="N108" s="50" t="str">
        <f t="shared" si="17"/>
        <v>Berth Hire</v>
      </c>
      <c r="O108" s="48">
        <f>IFERROR(VLOOKUP(J108,'Tariff Master'!G:J,2,0),0)</f>
        <v>0.65</v>
      </c>
      <c r="P108">
        <f>IFERROR(VLOOKUP(J108,'Tariff Master'!G:J,3,0),0)</f>
        <v>0</v>
      </c>
      <c r="Q108" t="str">
        <f>IFERROR(VLOOKUP(J108,'Tariff Master'!G:J,4,0),0)</f>
        <v>INR</v>
      </c>
      <c r="S108">
        <f t="shared" si="21"/>
        <v>37000</v>
      </c>
      <c r="T108">
        <f t="shared" si="22"/>
        <v>1</v>
      </c>
      <c r="U108">
        <f t="shared" si="23"/>
        <v>75</v>
      </c>
      <c r="V108" s="55">
        <f t="shared" si="19"/>
        <v>24050</v>
      </c>
      <c r="W108" s="56">
        <f t="shared" si="20"/>
        <v>0.18037500000000001</v>
      </c>
    </row>
  </sheetData>
  <pageMargins left="0.7" right="0.7" top="0.75" bottom="0.75" header="0.3" footer="0.3"/>
  <pageSetup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4C62-2EFC-4DE0-9A73-556D6CB59571}">
  <sheetPr>
    <tabColor rgb="FF002060"/>
  </sheetPr>
  <dimension ref="A4:Z101"/>
  <sheetViews>
    <sheetView showGridLines="0" showRowColHeaders="0" tabSelected="1" zoomScale="90" zoomScaleNormal="90" workbookViewId="0">
      <pane xSplit="23" ySplit="36" topLeftCell="X37" activePane="bottomRight" state="frozen"/>
      <selection pane="topRight" activeCell="X1" sqref="X1"/>
      <selection pane="bottomLeft" activeCell="A37" sqref="A37"/>
      <selection pane="bottomRight" activeCell="B101" sqref="B101"/>
    </sheetView>
  </sheetViews>
  <sheetFormatPr defaultRowHeight="14.4" x14ac:dyDescent="0.3"/>
  <cols>
    <col min="4" max="4" width="10.5546875" customWidth="1"/>
    <col min="5" max="5" width="3.33203125" customWidth="1"/>
    <col min="6" max="6" width="21.44140625" customWidth="1"/>
    <col min="7" max="7" width="14.88671875" customWidth="1"/>
    <col min="8" max="9" width="11.44140625" bestFit="1" customWidth="1"/>
    <col min="10" max="10" width="9.44140625" bestFit="1" customWidth="1"/>
    <col min="11" max="11" width="16.109375" bestFit="1" customWidth="1"/>
    <col min="12" max="12" width="10" bestFit="1" customWidth="1"/>
    <col min="13" max="14" width="12.5546875" bestFit="1" customWidth="1"/>
    <col min="16" max="16" width="12.33203125" bestFit="1" customWidth="1"/>
    <col min="18" max="18" width="6.109375" customWidth="1"/>
  </cols>
  <sheetData>
    <row r="4" spans="1:26" ht="6" customHeight="1" x14ac:dyDescent="0.3">
      <c r="E4" s="51"/>
      <c r="F4" s="51"/>
      <c r="G4" s="51"/>
      <c r="H4" s="51"/>
      <c r="I4" s="51"/>
      <c r="J4" s="51"/>
      <c r="K4" s="51"/>
      <c r="L4" s="51"/>
      <c r="M4" s="51"/>
      <c r="N4" s="51"/>
      <c r="O4" s="51"/>
      <c r="P4" s="51"/>
      <c r="Q4" s="51"/>
      <c r="R4" s="51"/>
      <c r="S4" s="51"/>
      <c r="T4" s="51"/>
      <c r="U4" s="51"/>
      <c r="V4" s="51"/>
      <c r="W4" s="51"/>
      <c r="X4" s="51"/>
      <c r="Y4" s="51"/>
      <c r="Z4" s="51"/>
    </row>
    <row r="5" spans="1:26" ht="5.25" customHeight="1" x14ac:dyDescent="0.3">
      <c r="A5" s="54"/>
      <c r="B5" s="54"/>
      <c r="C5" s="54"/>
      <c r="D5" s="54"/>
      <c r="E5" s="51"/>
      <c r="F5" s="51"/>
      <c r="G5" s="51"/>
      <c r="H5" s="51"/>
      <c r="I5" s="51"/>
      <c r="J5" s="51"/>
      <c r="K5" s="51"/>
      <c r="L5" s="51"/>
      <c r="M5" s="51"/>
      <c r="N5" s="51"/>
      <c r="O5" s="51"/>
      <c r="P5" s="51"/>
      <c r="Q5" s="51"/>
      <c r="R5" s="51"/>
      <c r="S5" s="51"/>
      <c r="T5" s="51"/>
      <c r="U5" s="51"/>
      <c r="V5" s="51"/>
      <c r="W5" s="51"/>
      <c r="X5" s="51"/>
      <c r="Y5" s="51"/>
      <c r="Z5" s="51"/>
    </row>
    <row r="6" spans="1:26" ht="28.2" customHeight="1" x14ac:dyDescent="0.3">
      <c r="A6" s="54"/>
      <c r="B6" s="54"/>
      <c r="C6" s="54"/>
      <c r="D6" s="54"/>
      <c r="E6" s="51"/>
      <c r="F6" s="51"/>
      <c r="G6" s="63">
        <f>ControlPanel!D3*10</f>
        <v>37000</v>
      </c>
      <c r="H6" s="51"/>
      <c r="I6" s="51"/>
      <c r="J6" s="51"/>
      <c r="K6" s="51"/>
      <c r="L6" s="51"/>
      <c r="M6" s="51"/>
      <c r="N6" s="51"/>
      <c r="O6" s="51"/>
      <c r="P6" s="51"/>
      <c r="Q6" s="51"/>
      <c r="R6" s="51"/>
      <c r="S6" s="51"/>
      <c r="T6" s="51"/>
      <c r="U6" s="51"/>
      <c r="V6" s="51"/>
      <c r="W6" s="51"/>
      <c r="X6" s="51"/>
      <c r="Y6" s="51"/>
      <c r="Z6" s="51"/>
    </row>
    <row r="7" spans="1:26" x14ac:dyDescent="0.3">
      <c r="A7" s="54"/>
      <c r="B7" s="54"/>
      <c r="C7" s="54"/>
      <c r="D7" s="54"/>
      <c r="E7" s="51"/>
      <c r="F7" s="51"/>
      <c r="G7" s="51"/>
      <c r="H7" s="51"/>
      <c r="I7" s="51"/>
      <c r="J7" s="51"/>
      <c r="K7" s="51"/>
      <c r="L7" s="51"/>
      <c r="M7" s="51"/>
      <c r="N7" s="51"/>
      <c r="O7" s="51"/>
      <c r="P7" s="51"/>
      <c r="Q7" s="51"/>
      <c r="R7" s="51"/>
      <c r="S7" s="51"/>
      <c r="T7" s="51"/>
      <c r="U7" s="51"/>
      <c r="V7" s="51"/>
      <c r="W7" s="51"/>
      <c r="X7" s="51"/>
      <c r="Y7" s="51"/>
      <c r="Z7" s="51"/>
    </row>
    <row r="8" spans="1:26" x14ac:dyDescent="0.3">
      <c r="A8" s="54"/>
      <c r="B8" s="54"/>
      <c r="C8" s="54"/>
      <c r="D8" s="54"/>
      <c r="E8" s="51"/>
      <c r="F8" s="51"/>
      <c r="G8" s="51"/>
      <c r="H8" s="51"/>
      <c r="I8" s="51"/>
      <c r="J8" s="51"/>
      <c r="K8" s="51"/>
      <c r="L8" s="51"/>
      <c r="M8" s="51"/>
      <c r="N8" s="51"/>
      <c r="O8" s="51"/>
      <c r="P8" s="51"/>
      <c r="Q8" s="51"/>
      <c r="R8" s="51"/>
      <c r="S8" s="51"/>
      <c r="T8" s="51"/>
      <c r="U8" s="51"/>
      <c r="V8" s="51"/>
      <c r="W8" s="51"/>
      <c r="X8" s="51"/>
      <c r="Y8" s="51"/>
      <c r="Z8" s="51"/>
    </row>
    <row r="9" spans="1:26" ht="16.2" customHeight="1" x14ac:dyDescent="0.3">
      <c r="A9" s="54"/>
      <c r="B9" s="54"/>
      <c r="C9" s="54"/>
      <c r="D9" s="54"/>
      <c r="E9" s="51"/>
      <c r="F9" s="51"/>
      <c r="G9" s="51"/>
      <c r="H9" s="51"/>
      <c r="I9" s="51"/>
      <c r="J9" s="51"/>
      <c r="K9" s="51"/>
      <c r="L9" s="51"/>
      <c r="M9" s="51"/>
      <c r="N9" s="51"/>
      <c r="O9" s="51"/>
      <c r="P9" s="51"/>
      <c r="Q9" s="51"/>
      <c r="R9" s="51"/>
      <c r="S9" s="51"/>
      <c r="T9" s="51"/>
      <c r="U9" s="51"/>
      <c r="V9" s="51"/>
      <c r="W9" s="51"/>
      <c r="X9" s="51"/>
      <c r="Y9" s="51"/>
      <c r="Z9" s="51"/>
    </row>
    <row r="10" spans="1:26" ht="29.4" customHeight="1" x14ac:dyDescent="0.3">
      <c r="A10" s="54"/>
      <c r="B10" s="54"/>
      <c r="C10" s="54"/>
      <c r="D10" s="54"/>
      <c r="E10" s="51"/>
      <c r="F10" s="51"/>
      <c r="G10" s="62">
        <v>1</v>
      </c>
      <c r="H10" s="51"/>
      <c r="I10" s="51"/>
      <c r="J10" s="51"/>
      <c r="K10" s="51"/>
      <c r="L10" s="51"/>
      <c r="M10" s="51"/>
      <c r="N10" s="51"/>
      <c r="O10" s="51"/>
      <c r="P10" s="51"/>
      <c r="Q10" s="51"/>
      <c r="R10" s="51"/>
      <c r="S10" s="51"/>
      <c r="T10" s="51"/>
      <c r="U10" s="51"/>
      <c r="V10" s="51"/>
      <c r="W10" s="51"/>
      <c r="X10" s="51"/>
      <c r="Y10" s="51"/>
      <c r="Z10" s="51"/>
    </row>
    <row r="11" spans="1:26" x14ac:dyDescent="0.3">
      <c r="E11" s="51"/>
      <c r="F11" s="51"/>
      <c r="G11" s="51"/>
      <c r="H11" s="51"/>
      <c r="I11" s="51"/>
      <c r="J11" s="51"/>
      <c r="K11" s="51"/>
      <c r="L11" s="51"/>
      <c r="M11" s="51"/>
      <c r="N11" s="51"/>
      <c r="O11" s="51"/>
      <c r="P11" s="51"/>
      <c r="Q11" s="51"/>
      <c r="R11" s="51"/>
      <c r="S11" s="51"/>
      <c r="T11" s="51"/>
      <c r="U11" s="51"/>
      <c r="V11" s="51"/>
      <c r="W11" s="51"/>
      <c r="X11" s="51"/>
      <c r="Y11" s="51"/>
      <c r="Z11" s="51"/>
    </row>
    <row r="12" spans="1:26" x14ac:dyDescent="0.3">
      <c r="E12" s="51"/>
      <c r="F12" s="51"/>
      <c r="G12" s="51"/>
      <c r="H12" s="51"/>
      <c r="I12" s="51"/>
      <c r="J12" s="51"/>
      <c r="K12" s="51"/>
      <c r="L12" s="51"/>
      <c r="M12" s="51"/>
      <c r="N12" s="51"/>
      <c r="O12" s="51"/>
      <c r="P12" s="51"/>
      <c r="Q12" s="51"/>
      <c r="R12" s="51"/>
      <c r="S12" s="51"/>
      <c r="T12" s="51"/>
      <c r="U12" s="51"/>
      <c r="V12" s="51"/>
      <c r="W12" s="51"/>
      <c r="X12" s="51"/>
      <c r="Y12" s="51"/>
      <c r="Z12" s="51"/>
    </row>
    <row r="13" spans="1:26" ht="15.6" customHeight="1" x14ac:dyDescent="0.3">
      <c r="E13" s="51"/>
      <c r="F13" s="51"/>
      <c r="G13" s="51"/>
      <c r="H13" s="51"/>
      <c r="I13" s="51"/>
      <c r="J13" s="51"/>
      <c r="K13" s="51"/>
      <c r="L13" s="51"/>
      <c r="M13" s="51"/>
      <c r="N13" s="51"/>
      <c r="O13" s="51"/>
      <c r="P13" s="51"/>
      <c r="Q13" s="51"/>
      <c r="R13" s="51"/>
      <c r="S13" s="51"/>
      <c r="T13" s="51"/>
      <c r="U13" s="51"/>
      <c r="V13" s="51"/>
      <c r="W13" s="51"/>
      <c r="X13" s="51"/>
      <c r="Y13" s="51"/>
      <c r="Z13" s="51"/>
    </row>
    <row r="14" spans="1:26" ht="28.5" customHeight="1" x14ac:dyDescent="0.3">
      <c r="E14" s="51"/>
      <c r="F14" s="51"/>
      <c r="G14" s="62">
        <v>75</v>
      </c>
      <c r="H14" s="51"/>
      <c r="I14" s="51"/>
      <c r="J14" s="51"/>
      <c r="K14" s="51"/>
      <c r="L14" s="51"/>
      <c r="M14" s="51"/>
      <c r="N14" s="51"/>
      <c r="O14" s="51"/>
      <c r="P14" s="51"/>
      <c r="Q14" s="51"/>
      <c r="R14" s="51"/>
      <c r="S14" s="51"/>
      <c r="T14" s="51"/>
      <c r="U14" s="51"/>
      <c r="V14" s="51"/>
      <c r="W14" s="51"/>
      <c r="X14" s="51"/>
      <c r="Y14" s="51"/>
      <c r="Z14" s="51"/>
    </row>
    <row r="15" spans="1:26" x14ac:dyDescent="0.3">
      <c r="E15" s="51"/>
      <c r="F15" s="51"/>
      <c r="G15" s="51"/>
      <c r="H15" s="51"/>
      <c r="I15" s="51"/>
      <c r="J15" s="51"/>
      <c r="K15" s="51"/>
      <c r="L15" s="51"/>
      <c r="M15" s="51"/>
      <c r="N15" s="51"/>
      <c r="O15" s="51"/>
      <c r="P15" s="51"/>
      <c r="Q15" s="51"/>
      <c r="R15" s="51"/>
      <c r="S15" s="51"/>
      <c r="T15" s="51"/>
      <c r="U15" s="51"/>
      <c r="V15" s="51"/>
      <c r="W15" s="51"/>
      <c r="X15" s="51"/>
      <c r="Y15" s="51"/>
      <c r="Z15" s="51"/>
    </row>
    <row r="16" spans="1:26" x14ac:dyDescent="0.3">
      <c r="E16" s="51"/>
      <c r="F16" s="51"/>
      <c r="G16" s="51"/>
      <c r="H16" s="51"/>
      <c r="I16" s="51"/>
      <c r="J16" s="51"/>
      <c r="K16" s="51"/>
      <c r="L16" s="51"/>
      <c r="M16" s="51"/>
      <c r="N16" s="51"/>
      <c r="O16" s="51"/>
      <c r="P16" s="51"/>
      <c r="Q16" s="51"/>
      <c r="R16" s="51"/>
      <c r="S16" s="51"/>
      <c r="T16" s="51"/>
      <c r="U16" s="51"/>
      <c r="V16" s="51"/>
      <c r="W16" s="51"/>
      <c r="X16" s="51"/>
      <c r="Y16" s="51"/>
      <c r="Z16" s="51"/>
    </row>
    <row r="17" spans="1:26" x14ac:dyDescent="0.3">
      <c r="E17" s="51"/>
      <c r="F17" s="51"/>
      <c r="G17" s="51"/>
      <c r="H17" s="51"/>
      <c r="I17" s="51"/>
      <c r="J17" s="51"/>
      <c r="K17" s="51"/>
      <c r="L17" s="51"/>
      <c r="M17" s="51"/>
      <c r="N17" s="51"/>
      <c r="O17" s="51"/>
      <c r="P17" s="51"/>
      <c r="Q17" s="51"/>
      <c r="R17" s="51"/>
      <c r="S17" s="51"/>
      <c r="T17" s="51"/>
      <c r="U17" s="51"/>
      <c r="V17" s="51"/>
      <c r="W17" s="51"/>
      <c r="X17" s="51"/>
      <c r="Y17" s="51"/>
      <c r="Z17" s="51"/>
    </row>
    <row r="18" spans="1:26" hidden="1" x14ac:dyDescent="0.3">
      <c r="E18" s="51"/>
      <c r="F18" s="51"/>
      <c r="G18" s="51"/>
      <c r="H18" s="51"/>
      <c r="I18" s="51"/>
      <c r="J18" s="51"/>
      <c r="K18" s="51"/>
      <c r="L18" s="51"/>
      <c r="M18" s="51"/>
      <c r="N18" s="51"/>
      <c r="O18" s="51"/>
      <c r="P18" s="51"/>
      <c r="Q18" s="51"/>
      <c r="R18" s="51"/>
      <c r="S18" s="51"/>
      <c r="T18" s="51"/>
      <c r="U18" s="51"/>
      <c r="V18" s="51"/>
      <c r="W18" s="51"/>
      <c r="X18" s="51"/>
      <c r="Y18" s="51"/>
      <c r="Z18" s="51"/>
    </row>
    <row r="19" spans="1:26" x14ac:dyDescent="0.3">
      <c r="E19" s="51"/>
      <c r="F19" s="51"/>
      <c r="G19" s="51"/>
      <c r="H19" s="51"/>
      <c r="I19" s="51"/>
      <c r="J19" s="51"/>
      <c r="K19" s="51"/>
      <c r="L19" s="51"/>
      <c r="M19" s="51"/>
      <c r="N19" s="51"/>
      <c r="O19" s="51"/>
      <c r="P19" s="51"/>
      <c r="Q19" s="51"/>
      <c r="R19" s="51"/>
      <c r="S19" s="51"/>
      <c r="T19" s="51"/>
      <c r="U19" s="51"/>
      <c r="V19" s="51"/>
      <c r="W19" s="51"/>
      <c r="X19" s="51"/>
      <c r="Y19" s="51"/>
      <c r="Z19" s="51"/>
    </row>
    <row r="20" spans="1:26" x14ac:dyDescent="0.3">
      <c r="C20" s="70"/>
      <c r="E20" s="51"/>
      <c r="F20" s="51"/>
      <c r="G20" s="51"/>
      <c r="H20" s="51"/>
      <c r="I20" s="51"/>
      <c r="J20" s="51"/>
      <c r="K20" s="51"/>
      <c r="L20" s="51"/>
      <c r="M20" s="51"/>
      <c r="N20" s="51"/>
      <c r="O20" s="51"/>
      <c r="P20" s="51"/>
      <c r="Q20" s="51"/>
      <c r="R20" s="51"/>
      <c r="S20" s="51"/>
      <c r="T20" s="51"/>
      <c r="U20" s="51"/>
      <c r="V20" s="51"/>
      <c r="W20" s="51"/>
      <c r="X20" s="51"/>
      <c r="Y20" s="51"/>
      <c r="Z20" s="51"/>
    </row>
    <row r="21" spans="1:26" x14ac:dyDescent="0.3">
      <c r="B21" s="69" t="s">
        <v>359</v>
      </c>
      <c r="E21" s="51"/>
      <c r="F21" s="51"/>
      <c r="G21" s="51"/>
      <c r="H21" s="51"/>
      <c r="I21" s="51"/>
      <c r="J21" s="51"/>
      <c r="K21" s="51"/>
      <c r="L21" s="51"/>
      <c r="M21" s="51"/>
      <c r="N21" s="51"/>
      <c r="O21" s="51"/>
      <c r="P21" s="51"/>
      <c r="Q21" s="51"/>
      <c r="R21" s="51"/>
      <c r="S21" s="51"/>
      <c r="T21" s="51"/>
      <c r="U21" s="51"/>
      <c r="V21" s="51"/>
      <c r="W21" s="51"/>
      <c r="X21" s="51"/>
      <c r="Y21" s="51"/>
      <c r="Z21" s="51"/>
    </row>
    <row r="22" spans="1:26" x14ac:dyDescent="0.3">
      <c r="E22" s="51"/>
      <c r="F22" s="51"/>
      <c r="G22" s="51"/>
      <c r="H22" s="51"/>
      <c r="I22" s="51"/>
      <c r="J22" s="51"/>
      <c r="K22" s="51"/>
      <c r="L22" s="51"/>
      <c r="M22" s="51"/>
      <c r="N22" s="51"/>
      <c r="O22" s="51"/>
      <c r="P22" s="51"/>
      <c r="Q22" s="51"/>
      <c r="R22" s="51"/>
      <c r="S22" s="51"/>
      <c r="T22" s="51"/>
      <c r="U22" s="51"/>
      <c r="V22" s="51"/>
      <c r="W22" s="51"/>
      <c r="X22" s="51"/>
      <c r="Y22" s="51"/>
      <c r="Z22" s="51"/>
    </row>
    <row r="23" spans="1:26" x14ac:dyDescent="0.3">
      <c r="E23" s="51"/>
      <c r="F23" s="51"/>
      <c r="G23" s="51"/>
      <c r="H23" s="51"/>
      <c r="I23" s="51"/>
      <c r="J23" s="51"/>
      <c r="K23" s="51"/>
      <c r="L23" s="51"/>
      <c r="M23" s="51"/>
      <c r="N23" s="51"/>
      <c r="O23" s="51"/>
      <c r="P23" s="51"/>
      <c r="Q23" s="51"/>
      <c r="R23" s="51"/>
      <c r="S23" s="51"/>
      <c r="T23" s="51"/>
      <c r="U23" s="51"/>
      <c r="V23" s="51"/>
      <c r="W23" s="51"/>
      <c r="X23" s="51"/>
      <c r="Y23" s="51"/>
      <c r="Z23" s="51"/>
    </row>
    <row r="24" spans="1:26" x14ac:dyDescent="0.3">
      <c r="A24" s="65" t="s">
        <v>352</v>
      </c>
      <c r="B24" s="64"/>
      <c r="C24" s="64"/>
      <c r="D24" s="64"/>
      <c r="E24" s="51"/>
      <c r="F24" s="51"/>
      <c r="G24" s="51"/>
      <c r="H24" s="51"/>
      <c r="I24" s="51"/>
      <c r="J24" s="52"/>
      <c r="K24" s="51"/>
      <c r="L24" s="51"/>
      <c r="M24" s="51"/>
      <c r="N24" s="51"/>
      <c r="O24" s="51"/>
      <c r="P24" s="51"/>
      <c r="Q24" s="51"/>
      <c r="R24" s="51"/>
      <c r="S24" s="51"/>
      <c r="T24" s="51"/>
      <c r="U24" s="51"/>
      <c r="V24" s="51"/>
      <c r="W24" s="51"/>
      <c r="X24" s="51"/>
      <c r="Y24" s="51"/>
      <c r="Z24" s="51"/>
    </row>
    <row r="25" spans="1:26" x14ac:dyDescent="0.3">
      <c r="A25" s="66" t="s">
        <v>351</v>
      </c>
      <c r="B25" s="54"/>
      <c r="C25" s="54"/>
      <c r="D25" s="54"/>
      <c r="E25" s="51"/>
      <c r="F25" s="51"/>
      <c r="G25" s="51"/>
      <c r="H25" s="51"/>
      <c r="I25" s="51"/>
      <c r="J25" s="51"/>
      <c r="K25" s="51"/>
      <c r="L25" s="51"/>
      <c r="M25" s="51"/>
      <c r="N25" s="51"/>
      <c r="O25" s="51"/>
      <c r="P25" s="51"/>
      <c r="Q25" s="51"/>
      <c r="R25" s="51"/>
      <c r="S25" s="51"/>
      <c r="T25" s="51"/>
      <c r="U25" s="51"/>
      <c r="V25" s="51"/>
      <c r="W25" s="51"/>
      <c r="X25" s="51"/>
      <c r="Y25" s="51"/>
      <c r="Z25" s="51"/>
    </row>
    <row r="26" spans="1:26" x14ac:dyDescent="0.3">
      <c r="A26" s="66" t="s">
        <v>356</v>
      </c>
      <c r="B26" s="61"/>
      <c r="C26" s="61"/>
      <c r="D26" s="61"/>
      <c r="E26" s="51"/>
      <c r="F26" s="51"/>
      <c r="G26" s="51"/>
      <c r="H26" s="51"/>
      <c r="I26" s="51"/>
      <c r="J26" s="51"/>
      <c r="K26" s="51"/>
      <c r="L26" s="51"/>
      <c r="M26" s="51"/>
      <c r="N26" s="51"/>
      <c r="O26" s="51"/>
      <c r="P26" s="51"/>
      <c r="Q26" s="51"/>
      <c r="R26" s="51"/>
      <c r="S26" s="51"/>
      <c r="T26" s="51"/>
      <c r="U26" s="51"/>
      <c r="V26" s="51"/>
      <c r="W26" s="51"/>
      <c r="X26" s="51"/>
      <c r="Y26" s="51"/>
      <c r="Z26" s="51"/>
    </row>
    <row r="27" spans="1:26" x14ac:dyDescent="0.3">
      <c r="E27" s="51"/>
      <c r="F27" s="51"/>
      <c r="G27" s="51"/>
      <c r="H27" s="51"/>
      <c r="I27" s="51"/>
      <c r="J27" s="51"/>
      <c r="K27" s="51"/>
      <c r="L27" s="51"/>
      <c r="M27" s="51"/>
      <c r="N27" s="51"/>
      <c r="O27" s="51"/>
      <c r="P27" s="51"/>
      <c r="Q27" s="51"/>
      <c r="R27" s="51"/>
      <c r="S27" s="51"/>
      <c r="T27" s="51"/>
      <c r="U27" s="51"/>
      <c r="V27" s="51"/>
      <c r="W27" s="51"/>
      <c r="X27" s="51"/>
      <c r="Y27" s="51"/>
      <c r="Z27" s="51"/>
    </row>
    <row r="28" spans="1:26" x14ac:dyDescent="0.3">
      <c r="E28" s="51"/>
      <c r="F28" s="51"/>
      <c r="G28" s="51"/>
      <c r="H28" s="51"/>
      <c r="I28" s="51"/>
      <c r="J28" s="51"/>
      <c r="K28" s="51"/>
      <c r="L28" s="51"/>
      <c r="M28" s="51"/>
      <c r="N28" s="51"/>
      <c r="O28" s="51"/>
      <c r="P28" s="51"/>
      <c r="Q28" s="51"/>
      <c r="R28" s="51"/>
      <c r="S28" s="51"/>
      <c r="T28" s="51"/>
      <c r="U28" s="51"/>
      <c r="V28" s="51"/>
      <c r="W28" s="51"/>
      <c r="X28" s="51"/>
      <c r="Y28" s="51"/>
      <c r="Z28" s="51"/>
    </row>
    <row r="29" spans="1:26" x14ac:dyDescent="0.3">
      <c r="E29" s="51"/>
      <c r="F29" s="51"/>
      <c r="G29" s="51"/>
      <c r="H29" s="51"/>
      <c r="I29" s="51"/>
      <c r="J29" s="51"/>
      <c r="K29" s="51"/>
      <c r="L29" s="51"/>
      <c r="M29" s="51"/>
      <c r="N29" s="51"/>
      <c r="O29" s="51"/>
      <c r="P29" s="51"/>
      <c r="Q29" s="51"/>
      <c r="R29" s="51"/>
      <c r="S29" s="51"/>
      <c r="T29" s="51"/>
      <c r="U29" s="51"/>
      <c r="V29" s="51"/>
      <c r="W29" s="51"/>
      <c r="X29" s="51"/>
      <c r="Y29" s="51"/>
      <c r="Z29" s="51"/>
    </row>
    <row r="30" spans="1:26" x14ac:dyDescent="0.3">
      <c r="E30" s="51"/>
      <c r="F30" s="51"/>
      <c r="G30" s="51"/>
      <c r="H30" s="51"/>
      <c r="I30" s="51"/>
      <c r="J30" s="51"/>
      <c r="K30" s="51"/>
      <c r="L30" s="51"/>
      <c r="M30" s="51"/>
      <c r="N30" s="51"/>
      <c r="O30" s="51"/>
      <c r="P30" s="51"/>
      <c r="Q30" s="51"/>
      <c r="R30" s="51"/>
      <c r="S30" s="51"/>
      <c r="T30" s="51"/>
      <c r="U30" s="51"/>
      <c r="V30" s="51"/>
      <c r="W30" s="51"/>
      <c r="X30" s="51"/>
      <c r="Y30" s="51"/>
      <c r="Z30" s="51"/>
    </row>
    <row r="31" spans="1:26" x14ac:dyDescent="0.3">
      <c r="E31" s="51"/>
      <c r="F31" s="51"/>
      <c r="G31" s="51"/>
      <c r="H31" s="51"/>
      <c r="I31" s="51"/>
      <c r="J31" s="51"/>
      <c r="K31" s="51"/>
      <c r="L31" s="51"/>
      <c r="M31" s="51"/>
      <c r="N31" s="51"/>
      <c r="O31" s="51"/>
      <c r="P31" s="51"/>
      <c r="Q31" s="51"/>
      <c r="R31" s="51"/>
      <c r="S31" s="51"/>
      <c r="T31" s="51"/>
      <c r="U31" s="51"/>
      <c r="V31" s="51"/>
      <c r="W31" s="51"/>
      <c r="X31" s="51"/>
      <c r="Y31" s="51"/>
      <c r="Z31" s="51"/>
    </row>
    <row r="32" spans="1:26" x14ac:dyDescent="0.3">
      <c r="E32" s="51"/>
      <c r="F32" s="51"/>
      <c r="G32" s="51"/>
      <c r="H32" s="51"/>
      <c r="I32" s="51"/>
      <c r="J32" s="51"/>
      <c r="K32" s="51"/>
      <c r="L32" s="51"/>
      <c r="M32" s="51"/>
      <c r="N32" s="51"/>
      <c r="O32" s="51"/>
      <c r="P32" s="51"/>
      <c r="Q32" s="51"/>
      <c r="R32" s="51"/>
      <c r="S32" s="51"/>
      <c r="T32" s="51"/>
      <c r="U32" s="51"/>
      <c r="V32" s="51"/>
      <c r="W32" s="51"/>
      <c r="X32" s="51"/>
      <c r="Y32" s="51"/>
      <c r="Z32" s="51"/>
    </row>
    <row r="33" spans="5:26" x14ac:dyDescent="0.3">
      <c r="E33" s="51"/>
      <c r="F33" s="51"/>
      <c r="G33" s="51"/>
      <c r="H33" s="51"/>
      <c r="I33" s="51"/>
      <c r="J33" s="51"/>
      <c r="K33" s="51"/>
      <c r="L33" s="51"/>
      <c r="M33" s="51"/>
      <c r="N33" s="51"/>
      <c r="O33" s="51"/>
      <c r="P33" s="51"/>
      <c r="Q33" s="51"/>
      <c r="R33" s="51"/>
      <c r="S33" s="51"/>
      <c r="T33" s="51"/>
      <c r="U33" s="51"/>
      <c r="V33" s="51"/>
      <c r="W33" s="51"/>
      <c r="X33" s="51"/>
      <c r="Y33" s="51"/>
      <c r="Z33" s="51"/>
    </row>
    <row r="34" spans="5:26" x14ac:dyDescent="0.3">
      <c r="E34" s="51"/>
      <c r="F34" s="51"/>
      <c r="G34" s="51"/>
      <c r="H34" s="51"/>
      <c r="I34" s="51"/>
      <c r="J34" s="51"/>
      <c r="K34" s="51"/>
      <c r="L34" s="51"/>
      <c r="M34" s="51"/>
      <c r="N34" s="51"/>
      <c r="O34" s="51"/>
      <c r="P34" s="51"/>
      <c r="Q34" s="51"/>
      <c r="R34" s="51"/>
      <c r="S34" s="51"/>
      <c r="T34" s="51"/>
      <c r="U34" s="51"/>
      <c r="V34" s="51"/>
      <c r="W34" s="51"/>
      <c r="X34" s="51"/>
      <c r="Y34" s="51"/>
      <c r="Z34" s="51"/>
    </row>
    <row r="35" spans="5:26" x14ac:dyDescent="0.3">
      <c r="E35" s="51"/>
      <c r="F35" s="51"/>
      <c r="G35" s="51"/>
      <c r="H35" s="51"/>
      <c r="I35" s="51"/>
      <c r="J35" s="51"/>
      <c r="K35" s="51"/>
      <c r="L35" s="51"/>
      <c r="M35" s="51"/>
      <c r="N35" s="51"/>
      <c r="O35" s="51"/>
      <c r="P35" s="51"/>
      <c r="Q35" s="51"/>
      <c r="R35" s="51"/>
      <c r="S35" s="51"/>
      <c r="T35" s="51"/>
      <c r="U35" s="51"/>
      <c r="V35" s="51"/>
      <c r="W35" s="51"/>
      <c r="X35" s="51"/>
      <c r="Y35" s="51"/>
      <c r="Z35" s="51"/>
    </row>
    <row r="36" spans="5:26" x14ac:dyDescent="0.3">
      <c r="E36" s="51"/>
      <c r="F36" s="51"/>
      <c r="G36" s="51"/>
      <c r="H36" s="51"/>
      <c r="I36" s="51"/>
      <c r="J36" s="51"/>
      <c r="K36" s="51"/>
      <c r="L36" s="51"/>
      <c r="M36" s="51"/>
      <c r="N36" s="51"/>
      <c r="O36" s="51"/>
      <c r="P36" s="51"/>
      <c r="Q36" s="51"/>
      <c r="R36" s="51"/>
      <c r="S36" s="51"/>
      <c r="T36" s="51"/>
      <c r="U36" s="51"/>
      <c r="V36" s="51"/>
      <c r="W36" s="51"/>
      <c r="X36" s="51"/>
      <c r="Y36" s="51"/>
      <c r="Z36" s="51"/>
    </row>
    <row r="37" spans="5:26" x14ac:dyDescent="0.3">
      <c r="E37" s="51"/>
      <c r="F37" s="51"/>
      <c r="G37" s="51"/>
      <c r="H37" s="51"/>
      <c r="I37" s="51"/>
      <c r="J37" s="51"/>
      <c r="K37" s="51"/>
      <c r="L37" s="51"/>
      <c r="M37" s="51"/>
      <c r="N37" s="51"/>
      <c r="O37" s="51"/>
      <c r="P37" s="51"/>
      <c r="Q37" s="51"/>
      <c r="R37" s="51"/>
      <c r="S37" s="51"/>
      <c r="T37" s="51"/>
      <c r="U37" s="51"/>
      <c r="V37" s="51"/>
      <c r="W37" s="51"/>
      <c r="X37" s="51"/>
      <c r="Y37" s="51"/>
      <c r="Z37" s="51"/>
    </row>
    <row r="38" spans="5:26" x14ac:dyDescent="0.3">
      <c r="E38" s="51"/>
      <c r="F38" s="51"/>
      <c r="G38" s="51"/>
      <c r="H38" s="51"/>
      <c r="I38" s="51"/>
      <c r="J38" s="51"/>
      <c r="K38" s="51"/>
      <c r="L38" s="51"/>
      <c r="M38" s="51"/>
      <c r="N38" s="51"/>
      <c r="O38" s="51"/>
      <c r="P38" s="51"/>
      <c r="Q38" s="51"/>
      <c r="R38" s="51"/>
      <c r="S38" s="51"/>
      <c r="T38" s="51"/>
      <c r="U38" s="51"/>
      <c r="V38" s="51"/>
      <c r="W38" s="51"/>
      <c r="X38" s="51"/>
      <c r="Y38" s="51"/>
      <c r="Z38" s="51"/>
    </row>
    <row r="39" spans="5:26" x14ac:dyDescent="0.3">
      <c r="E39" s="51"/>
      <c r="F39" s="51"/>
      <c r="G39" s="51"/>
      <c r="H39" s="51"/>
      <c r="I39" s="51"/>
      <c r="J39" s="51"/>
      <c r="K39" s="51"/>
      <c r="L39" s="51"/>
      <c r="M39" s="51"/>
      <c r="N39" s="51"/>
      <c r="O39" s="51"/>
      <c r="P39" s="51"/>
      <c r="Q39" s="51"/>
      <c r="R39" s="51"/>
      <c r="S39" s="51"/>
      <c r="T39" s="51"/>
      <c r="U39" s="51"/>
      <c r="V39" s="51"/>
      <c r="W39" s="51"/>
      <c r="X39" s="51"/>
      <c r="Y39" s="51"/>
      <c r="Z39" s="51"/>
    </row>
    <row r="40" spans="5:26" x14ac:dyDescent="0.3">
      <c r="E40" s="51"/>
      <c r="F40" s="51"/>
      <c r="G40" s="51"/>
      <c r="H40" s="51"/>
      <c r="I40" s="51"/>
      <c r="J40" s="51"/>
      <c r="K40" s="51"/>
      <c r="L40" s="51"/>
      <c r="M40" s="51"/>
      <c r="N40" s="51"/>
      <c r="O40" s="51"/>
      <c r="P40" s="51"/>
      <c r="Q40" s="51"/>
      <c r="R40" s="51"/>
      <c r="S40" s="51"/>
      <c r="T40" s="51"/>
      <c r="U40" s="51"/>
      <c r="V40" s="51"/>
      <c r="W40" s="51"/>
      <c r="X40" s="51"/>
      <c r="Y40" s="51"/>
      <c r="Z40" s="51"/>
    </row>
    <row r="41" spans="5:26" x14ac:dyDescent="0.3">
      <c r="E41" s="51"/>
      <c r="F41" s="51"/>
      <c r="G41" s="51"/>
      <c r="H41" s="51"/>
      <c r="I41" s="51"/>
      <c r="J41" s="51"/>
      <c r="K41" s="51"/>
      <c r="L41" s="51"/>
      <c r="M41" s="51"/>
      <c r="N41" s="51"/>
      <c r="O41" s="51"/>
      <c r="P41" s="51"/>
      <c r="Q41" s="51"/>
      <c r="R41" s="51"/>
      <c r="S41" s="51"/>
      <c r="T41" s="51"/>
      <c r="U41" s="51"/>
      <c r="V41" s="51"/>
      <c r="W41" s="51"/>
      <c r="X41" s="51"/>
      <c r="Y41" s="51"/>
      <c r="Z41" s="51"/>
    </row>
    <row r="42" spans="5:26" x14ac:dyDescent="0.3">
      <c r="E42" s="51"/>
      <c r="F42" s="51"/>
      <c r="G42" s="51"/>
      <c r="H42" s="51"/>
      <c r="I42" s="51"/>
      <c r="J42" s="51"/>
      <c r="K42" s="51"/>
      <c r="L42" s="51"/>
      <c r="M42" s="51"/>
      <c r="N42" s="51"/>
      <c r="O42" s="51"/>
      <c r="P42" s="51"/>
      <c r="Q42" s="51"/>
      <c r="R42" s="51"/>
      <c r="S42" s="51"/>
      <c r="T42" s="51"/>
      <c r="U42" s="51"/>
      <c r="V42" s="51"/>
      <c r="W42" s="51"/>
      <c r="X42" s="51"/>
      <c r="Y42" s="51"/>
      <c r="Z42" s="51"/>
    </row>
    <row r="43" spans="5:26" x14ac:dyDescent="0.3">
      <c r="E43" s="51"/>
      <c r="F43" s="51"/>
      <c r="G43" s="51"/>
      <c r="H43" s="51"/>
      <c r="I43" s="51"/>
      <c r="J43" s="51"/>
      <c r="K43" s="51"/>
      <c r="L43" s="51"/>
      <c r="M43" s="51"/>
      <c r="N43" s="51"/>
      <c r="O43" s="51"/>
      <c r="P43" s="51"/>
      <c r="Q43" s="51"/>
      <c r="R43" s="51"/>
      <c r="S43" s="51"/>
      <c r="T43" s="51"/>
      <c r="U43" s="51"/>
      <c r="V43" s="51"/>
      <c r="W43" s="51"/>
      <c r="X43" s="51"/>
      <c r="Y43" s="51"/>
      <c r="Z43" s="50"/>
    </row>
    <row r="87" spans="1:20" x14ac:dyDescent="0.3">
      <c r="N87" s="56"/>
    </row>
    <row r="88" spans="1:20" x14ac:dyDescent="0.3">
      <c r="A88" s="71"/>
      <c r="B88" s="71"/>
      <c r="C88" s="71"/>
      <c r="D88" s="71"/>
      <c r="E88" s="71"/>
      <c r="F88" s="71"/>
      <c r="G88" s="71"/>
      <c r="H88" s="71"/>
      <c r="I88" s="71"/>
      <c r="J88" s="71"/>
      <c r="K88" s="71"/>
      <c r="L88" s="71"/>
      <c r="M88" s="71"/>
      <c r="N88" s="71"/>
      <c r="O88" s="71"/>
      <c r="P88" s="71"/>
      <c r="Q88" s="71"/>
      <c r="R88" s="71"/>
      <c r="S88" s="71"/>
      <c r="T88" s="71"/>
    </row>
    <row r="89" spans="1:20" x14ac:dyDescent="0.3">
      <c r="A89" s="71"/>
      <c r="B89" s="71"/>
      <c r="C89" s="71"/>
      <c r="D89" s="71"/>
      <c r="E89" s="71"/>
      <c r="F89" s="71"/>
      <c r="G89" s="71"/>
      <c r="H89" s="71"/>
      <c r="I89" s="71"/>
      <c r="J89" s="71"/>
      <c r="K89" s="71"/>
      <c r="L89" s="71"/>
      <c r="M89" s="71"/>
      <c r="N89" s="71"/>
      <c r="O89" s="71"/>
      <c r="P89" s="71"/>
      <c r="Q89" s="71"/>
      <c r="R89" s="71"/>
      <c r="S89" s="71"/>
      <c r="T89" s="71"/>
    </row>
    <row r="90" spans="1:20" x14ac:dyDescent="0.3">
      <c r="A90" s="71"/>
      <c r="B90" s="71"/>
      <c r="C90" s="71"/>
      <c r="D90" s="71"/>
      <c r="E90" s="71"/>
      <c r="F90" s="71"/>
      <c r="G90" s="71"/>
      <c r="H90" s="71"/>
      <c r="I90" s="71"/>
      <c r="J90" s="71"/>
      <c r="K90" s="71"/>
      <c r="L90" s="71"/>
      <c r="M90" s="71"/>
      <c r="N90" s="72" t="str">
        <f>ControlPanel!E7</f>
        <v>INR</v>
      </c>
      <c r="O90" s="71"/>
      <c r="P90" s="71" t="str">
        <f>ControlPanel!K8</f>
        <v>VIEW</v>
      </c>
      <c r="Q90" s="71"/>
      <c r="R90" s="71"/>
      <c r="S90" s="71"/>
      <c r="T90" s="71"/>
    </row>
    <row r="91" spans="1:20" x14ac:dyDescent="0.3">
      <c r="A91" s="71" t="s">
        <v>111</v>
      </c>
      <c r="B91" s="71"/>
      <c r="C91" s="71"/>
      <c r="D91" s="71"/>
      <c r="E91" s="71"/>
      <c r="F91" s="73" t="s">
        <v>6</v>
      </c>
      <c r="G91" s="73" t="s">
        <v>258</v>
      </c>
      <c r="H91" s="73" t="s">
        <v>259</v>
      </c>
      <c r="I91" s="73" t="s">
        <v>156</v>
      </c>
      <c r="J91" s="73" t="s">
        <v>157</v>
      </c>
      <c r="K91" s="73" t="s">
        <v>304</v>
      </c>
      <c r="L91" s="73" t="s">
        <v>306</v>
      </c>
      <c r="M91" s="73" t="s">
        <v>158</v>
      </c>
      <c r="N91" s="73" t="s">
        <v>159</v>
      </c>
      <c r="O91" s="71"/>
      <c r="P91" s="73" t="s">
        <v>303</v>
      </c>
      <c r="Q91" s="71"/>
      <c r="R91" s="71"/>
      <c r="S91" s="71"/>
      <c r="T91" s="71"/>
    </row>
    <row r="92" spans="1:20" x14ac:dyDescent="0.3">
      <c r="A92" s="71"/>
      <c r="B92" s="71"/>
      <c r="C92" s="71"/>
      <c r="D92" s="71"/>
      <c r="E92" s="71"/>
      <c r="F92" s="71" t="s">
        <v>0</v>
      </c>
      <c r="G92" s="71">
        <f>newCalc!$G$6</f>
        <v>37000</v>
      </c>
      <c r="H92" s="71"/>
      <c r="I92" s="74">
        <f>'Tariff Master'!AF5</f>
        <v>5.4179999999999999E-2</v>
      </c>
      <c r="J92" s="75">
        <f>'Tariff Master'!AG5</f>
        <v>275</v>
      </c>
      <c r="K92" s="76" t="str">
        <f>'Tariff Master'!AH5</f>
        <v>USD</v>
      </c>
      <c r="L92" s="77">
        <f>IF(K92="USD",ControlPanel!$E$5,IF(K92="INR",1,0))</f>
        <v>75</v>
      </c>
      <c r="M92" s="75">
        <f>IF(K92="USD",MAX(G92*I92,J92),MAX(G92*I92,J92)/ControlPanel!$E$5)</f>
        <v>2004.6599999999999</v>
      </c>
      <c r="N92" s="75">
        <f>M92*IF($N$90="USD",1,ControlPanel!$E$5)</f>
        <v>150349.5</v>
      </c>
      <c r="O92" s="71"/>
      <c r="P92" s="78">
        <f>IF($P$90="VIEW",I92,"")</f>
        <v>5.4179999999999999E-2</v>
      </c>
      <c r="Q92" s="71"/>
      <c r="R92" s="71"/>
      <c r="S92" s="71"/>
      <c r="T92" s="71"/>
    </row>
    <row r="93" spans="1:20" x14ac:dyDescent="0.3">
      <c r="A93" s="71" t="s">
        <v>113</v>
      </c>
      <c r="B93" s="71"/>
      <c r="C93" s="71"/>
      <c r="D93" s="71"/>
      <c r="E93" s="71"/>
      <c r="F93" s="71" t="s">
        <v>3</v>
      </c>
      <c r="G93" s="71">
        <f>newCalc!$G$6</f>
        <v>37000</v>
      </c>
      <c r="H93" s="71"/>
      <c r="I93" s="74">
        <f>'Tariff Master'!AF6</f>
        <v>1.9731000000000001</v>
      </c>
      <c r="J93" s="75">
        <f>'Tariff Master'!AG6</f>
        <v>0</v>
      </c>
      <c r="K93" s="76" t="str">
        <f>'Tariff Master'!AH6</f>
        <v>USD</v>
      </c>
      <c r="L93" s="77">
        <f>IF(K93="USD",ControlPanel!$E$5,IF(K93="INR",1,0))</f>
        <v>75</v>
      </c>
      <c r="M93" s="75">
        <f>IF(K93="USD",MAX(G93*I93,J93),MAX(G93*I93,J93)/ControlPanel!$E$5)</f>
        <v>73004.7</v>
      </c>
      <c r="N93" s="75">
        <f>M93*IF($N$90="USD",1,ControlPanel!$E$5)</f>
        <v>5475352.5</v>
      </c>
      <c r="O93" s="71"/>
      <c r="P93" s="78">
        <f>IF($P$90="VIEW",I93,"")</f>
        <v>1.9731000000000001</v>
      </c>
      <c r="Q93" s="71"/>
      <c r="R93" s="71"/>
      <c r="S93" s="71"/>
      <c r="T93" s="71"/>
    </row>
    <row r="94" spans="1:20" x14ac:dyDescent="0.3">
      <c r="A94" s="71" t="s">
        <v>335</v>
      </c>
      <c r="B94" s="71"/>
      <c r="C94" s="71"/>
      <c r="D94" s="71"/>
      <c r="E94" s="71"/>
      <c r="F94" s="71" t="s">
        <v>7</v>
      </c>
      <c r="G94" s="71">
        <f>newCalc!$G$6</f>
        <v>37000</v>
      </c>
      <c r="H94" s="72">
        <f>ControlPanel!E4</f>
        <v>1</v>
      </c>
      <c r="I94" s="74">
        <f>'Tariff Master'!AF7</f>
        <v>0.01</v>
      </c>
      <c r="J94" s="75">
        <f>IF(B101=TRUE,0,'Tariff Master'!AG7)</f>
        <v>720</v>
      </c>
      <c r="K94" s="76" t="str">
        <f>'Tariff Master'!AH7</f>
        <v>USD</v>
      </c>
      <c r="L94" s="77">
        <f>IF(K94="USD",ControlPanel!$E$5,IF(K94="INR",1,0))</f>
        <v>75</v>
      </c>
      <c r="M94" s="75">
        <f>IF(K94="USD",MAX(G94*I94*H94,J94),MAX(G94*I94*H94,J94)/ControlPanel!$E$5)</f>
        <v>720</v>
      </c>
      <c r="N94" s="75">
        <f>M94*IF($N$90="USD",1,ControlPanel!$E$5)</f>
        <v>54000</v>
      </c>
      <c r="O94" s="71"/>
      <c r="P94" s="78">
        <f>IF($P$90="VIEW",I94,"")</f>
        <v>0.01</v>
      </c>
      <c r="Q94" s="71"/>
      <c r="R94" s="71"/>
      <c r="S94" s="71"/>
      <c r="T94" s="71"/>
    </row>
    <row r="95" spans="1:20" x14ac:dyDescent="0.3">
      <c r="A95" s="71" t="s">
        <v>110</v>
      </c>
      <c r="B95" s="71"/>
      <c r="C95" s="71"/>
      <c r="D95" s="71"/>
      <c r="E95" s="71"/>
      <c r="F95" s="71" t="s">
        <v>4</v>
      </c>
      <c r="G95" s="71">
        <f>newCalc!$G$6</f>
        <v>37000</v>
      </c>
      <c r="H95" s="71"/>
      <c r="I95" s="74">
        <f>'Tariff Master'!AF8</f>
        <v>3.4720000000000001E-2</v>
      </c>
      <c r="J95" s="75">
        <f>'Tariff Master'!AG8</f>
        <v>0</v>
      </c>
      <c r="K95" s="76" t="str">
        <f>'Tariff Master'!AH8</f>
        <v>USD</v>
      </c>
      <c r="L95" s="77">
        <f>IF(K95="USD",ControlPanel!$E$5,IF(K95="INR",1,0))</f>
        <v>75</v>
      </c>
      <c r="M95" s="75">
        <f>IF(K95="USD",MAX(G95*I95,J95),MAX(G95*I95,J95)/ControlPanel!$E$5)</f>
        <v>1284.6400000000001</v>
      </c>
      <c r="N95" s="75">
        <f>M95*IF($N$90="USD",1,ControlPanel!$E$5)</f>
        <v>96348.000000000015</v>
      </c>
      <c r="O95" s="71"/>
      <c r="P95" s="78">
        <f>IF($P$90="VIEW",I95,"")</f>
        <v>3.4720000000000001E-2</v>
      </c>
      <c r="Q95" s="71"/>
      <c r="R95" s="71"/>
      <c r="S95" s="71"/>
      <c r="T95" s="71"/>
    </row>
    <row r="96" spans="1:20" x14ac:dyDescent="0.3">
      <c r="A96" s="71" t="s">
        <v>112</v>
      </c>
      <c r="B96" s="71"/>
      <c r="C96" s="71"/>
      <c r="D96" s="71"/>
      <c r="E96" s="71"/>
      <c r="F96" s="71" t="s">
        <v>75</v>
      </c>
      <c r="G96" s="71">
        <v>1</v>
      </c>
      <c r="H96" s="71"/>
      <c r="I96" s="79">
        <f>'Tariff Master'!AF9</f>
        <v>350</v>
      </c>
      <c r="J96" s="80">
        <f>'Tariff Master'!AG9</f>
        <v>0</v>
      </c>
      <c r="K96" s="76" t="str">
        <f>'Tariff Master'!AH9</f>
        <v>USD</v>
      </c>
      <c r="L96" s="77">
        <f>IF(K96="USD",ControlPanel!$E$5,IF(K96="INR",1,0))</f>
        <v>75</v>
      </c>
      <c r="M96" s="79">
        <f>IF(K96="USD",MAX(G96*I96,J96),MAX(G96*I96,J96)/ControlPanel!$E$5)</f>
        <v>350</v>
      </c>
      <c r="N96" s="75">
        <f>M96*IF($N$90="USD",1,ControlPanel!$E$5)</f>
        <v>26250</v>
      </c>
      <c r="O96" s="71"/>
      <c r="P96" s="81">
        <f>IF($P$90="VIEW",I96,"")</f>
        <v>350</v>
      </c>
      <c r="Q96" s="71"/>
      <c r="R96" s="71"/>
      <c r="S96" s="71"/>
      <c r="T96" s="71"/>
    </row>
    <row r="97" spans="1:20" x14ac:dyDescent="0.3">
      <c r="A97" s="71"/>
      <c r="B97" s="71"/>
      <c r="C97" s="71"/>
      <c r="D97" s="71"/>
      <c r="E97" s="71"/>
      <c r="F97" s="82" t="s">
        <v>160</v>
      </c>
      <c r="G97" s="82"/>
      <c r="H97" s="82"/>
      <c r="I97" s="82"/>
      <c r="J97" s="82"/>
      <c r="K97" s="82"/>
      <c r="L97" s="71"/>
      <c r="M97" s="83"/>
      <c r="N97" s="83">
        <f>SUM(N92:N96)</f>
        <v>5802300</v>
      </c>
      <c r="O97" s="71"/>
      <c r="P97" s="71"/>
      <c r="Q97" s="71"/>
      <c r="R97" s="71"/>
      <c r="S97" s="71"/>
      <c r="T97" s="71"/>
    </row>
    <row r="98" spans="1:20" x14ac:dyDescent="0.3">
      <c r="A98" s="71"/>
      <c r="B98" s="71"/>
      <c r="C98" s="71"/>
      <c r="D98" s="71"/>
      <c r="E98" s="71"/>
      <c r="F98" s="71" t="s">
        <v>161</v>
      </c>
      <c r="G98" s="71"/>
      <c r="H98" s="71"/>
      <c r="I98" s="71"/>
      <c r="J98" s="71"/>
      <c r="K98" s="71"/>
      <c r="L98" s="71"/>
      <c r="M98" s="75"/>
      <c r="N98" s="75">
        <f>N97*18%</f>
        <v>1044414</v>
      </c>
      <c r="O98" s="71"/>
      <c r="P98" s="71"/>
      <c r="Q98" s="71"/>
      <c r="R98" s="71"/>
      <c r="S98" s="71"/>
      <c r="T98" s="71"/>
    </row>
    <row r="99" spans="1:20" x14ac:dyDescent="0.3">
      <c r="A99" s="71"/>
      <c r="B99" s="71"/>
      <c r="C99" s="71"/>
      <c r="D99" s="71"/>
      <c r="E99" s="71"/>
      <c r="F99" s="71" t="s">
        <v>162</v>
      </c>
      <c r="G99" s="71"/>
      <c r="H99" s="71"/>
      <c r="I99" s="71"/>
      <c r="J99" s="71"/>
      <c r="K99" s="71"/>
      <c r="L99" s="71"/>
      <c r="M99" s="75"/>
      <c r="N99" s="75">
        <f>N97+N98</f>
        <v>6846714</v>
      </c>
      <c r="O99" s="71"/>
      <c r="P99" s="71"/>
      <c r="Q99" s="71"/>
      <c r="R99" s="71"/>
      <c r="S99" s="71"/>
      <c r="T99" s="71"/>
    </row>
    <row r="100" spans="1:20" x14ac:dyDescent="0.3">
      <c r="A100" s="71"/>
      <c r="B100" s="71"/>
      <c r="C100" s="71"/>
      <c r="D100" s="71"/>
      <c r="E100" s="71"/>
      <c r="F100" s="71"/>
      <c r="G100" s="71"/>
      <c r="H100" s="71"/>
      <c r="I100" s="71"/>
      <c r="J100" s="71"/>
      <c r="K100" s="71"/>
      <c r="L100" s="71"/>
      <c r="M100" s="71"/>
      <c r="N100" s="71"/>
      <c r="O100" s="71"/>
      <c r="P100" s="71"/>
      <c r="Q100" s="71"/>
      <c r="R100" s="71"/>
      <c r="S100" s="71"/>
      <c r="T100" s="71"/>
    </row>
    <row r="101" spans="1:20" x14ac:dyDescent="0.3">
      <c r="A101" s="71" t="s">
        <v>358</v>
      </c>
      <c r="B101" s="103" t="b">
        <v>0</v>
      </c>
      <c r="C101" s="71"/>
      <c r="D101" s="71"/>
      <c r="E101" s="71"/>
      <c r="F101" s="71"/>
      <c r="G101" s="71"/>
      <c r="H101" s="71"/>
      <c r="I101" s="71"/>
      <c r="J101" s="71"/>
      <c r="K101" s="71"/>
      <c r="L101" s="71">
        <v>1</v>
      </c>
      <c r="M101" s="71"/>
      <c r="N101" s="71"/>
      <c r="O101" s="71"/>
      <c r="P101" s="71"/>
      <c r="Q101" s="71"/>
      <c r="R101" s="71"/>
      <c r="S101" s="71"/>
      <c r="T101" s="71"/>
    </row>
  </sheetData>
  <sheetProtection algorithmName="SHA-512" hashValue="TOHiekp5zw2+Zt5ZzsDevS7EV75wIkvbGmdDlSr9X0UIQgqKG7v7rpL7ln2h08lBYXCCSS8GOFa8YrgJ+gMbQA==" saltValue="gOUn5Csua5ZnnPnXPQ9tAw==" spinCount="100000" sheet="1" selectLockedCells="1"/>
  <pageMargins left="0.7" right="0.7" top="0.75" bottom="0.75" header="0.3" footer="0.3"/>
  <pageSetup orientation="portrait" r:id="rId1"/>
  <ignoredErrors>
    <ignoredError sqref="M94"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defaultSize="0" autoPict="0">
                <anchor>
                  <from>
                    <xdr:col>5</xdr:col>
                    <xdr:colOff>243840</xdr:colOff>
                    <xdr:row>6</xdr:row>
                    <xdr:rowOff>53340</xdr:rowOff>
                  </from>
                  <to>
                    <xdr:col>7</xdr:col>
                    <xdr:colOff>0</xdr:colOff>
                    <xdr:row>7</xdr:row>
                    <xdr:rowOff>91440</xdr:rowOff>
                  </to>
                </anchor>
              </controlPr>
            </control>
          </mc:Choice>
        </mc:AlternateContent>
        <mc:AlternateContent xmlns:mc="http://schemas.openxmlformats.org/markup-compatibility/2006">
          <mc:Choice Requires="x14">
            <control shapeId="1026" r:id="rId5" name="Scroll Bar 2">
              <controlPr defaultSize="0" autoPict="0">
                <anchor>
                  <from>
                    <xdr:col>5</xdr:col>
                    <xdr:colOff>243840</xdr:colOff>
                    <xdr:row>10</xdr:row>
                    <xdr:rowOff>38100</xdr:rowOff>
                  </from>
                  <to>
                    <xdr:col>7</xdr:col>
                    <xdr:colOff>0</xdr:colOff>
                    <xdr:row>11</xdr:row>
                    <xdr:rowOff>76200</xdr:rowOff>
                  </to>
                </anchor>
              </controlPr>
            </control>
          </mc:Choice>
        </mc:AlternateContent>
        <mc:AlternateContent xmlns:mc="http://schemas.openxmlformats.org/markup-compatibility/2006">
          <mc:Choice Requires="x14">
            <control shapeId="1027" r:id="rId6" name="Scroll Bar 3">
              <controlPr defaultSize="0" autoPict="0">
                <anchor>
                  <from>
                    <xdr:col>5</xdr:col>
                    <xdr:colOff>243840</xdr:colOff>
                    <xdr:row>14</xdr:row>
                    <xdr:rowOff>45720</xdr:rowOff>
                  </from>
                  <to>
                    <xdr:col>7</xdr:col>
                    <xdr:colOff>0</xdr:colOff>
                    <xdr:row>15</xdr:row>
                    <xdr:rowOff>83820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0</xdr:col>
                    <xdr:colOff>411480</xdr:colOff>
                    <xdr:row>19</xdr:row>
                    <xdr:rowOff>106680</xdr:rowOff>
                  </from>
                  <to>
                    <xdr:col>1</xdr:col>
                    <xdr:colOff>160020</xdr:colOff>
                    <xdr:row>21</xdr:row>
                    <xdr:rowOff>76200</xdr:rowOff>
                  </to>
                </anchor>
              </controlPr>
            </control>
          </mc:Choice>
        </mc:AlternateContent>
      </controls>
    </mc:Choice>
  </mc:AlternateContent>
  <extLst>
    <ext xmlns:x14="http://schemas.microsoft.com/office/spreadsheetml/2009/9/main" uri="{A8765BA9-456A-4dab-B4F3-ACF838C121DE}">
      <x14:slicerList>
        <x14:slicer r:id="rId8"/>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EBAE0-9167-4F55-A5E8-97C71935D3FE}">
  <sheetPr>
    <tabColor rgb="FFFFFF00"/>
  </sheetPr>
  <dimension ref="B1:I24"/>
  <sheetViews>
    <sheetView showGridLines="0" zoomScaleNormal="100" workbookViewId="0">
      <pane ySplit="1" topLeftCell="A2" activePane="bottomLeft" state="frozen"/>
      <selection activeCell="C10" sqref="C10:C12"/>
      <selection pane="bottomLeft" activeCell="I11" sqref="I11"/>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1.5546875" style="4" bestFit="1" customWidth="1"/>
    <col min="7" max="7" width="8.33203125" style="4" bestFit="1" customWidth="1"/>
    <col min="8" max="16384" width="9.109375" style="4"/>
  </cols>
  <sheetData>
    <row r="1" spans="2:9" x14ac:dyDescent="0.3">
      <c r="B1" s="3" t="s">
        <v>81</v>
      </c>
    </row>
    <row r="2" spans="2:9" x14ac:dyDescent="0.3">
      <c r="B2" s="17" t="s">
        <v>1</v>
      </c>
      <c r="C2" s="17" t="s">
        <v>10</v>
      </c>
      <c r="D2" s="17" t="s">
        <v>11</v>
      </c>
      <c r="E2" s="17" t="s">
        <v>12</v>
      </c>
      <c r="F2" s="17" t="s">
        <v>13</v>
      </c>
      <c r="G2" s="17" t="s">
        <v>14</v>
      </c>
    </row>
    <row r="3" spans="2:9" x14ac:dyDescent="0.3">
      <c r="B3" s="19" t="s">
        <v>15</v>
      </c>
      <c r="C3" s="13">
        <v>0.26800000000000002</v>
      </c>
      <c r="D3" s="13">
        <v>1200</v>
      </c>
      <c r="E3" s="13" t="s">
        <v>16</v>
      </c>
      <c r="F3" s="9" t="s">
        <v>74</v>
      </c>
      <c r="G3" s="8" t="s">
        <v>17</v>
      </c>
    </row>
    <row r="4" spans="2:9" x14ac:dyDescent="0.3">
      <c r="B4" s="84" t="s">
        <v>3</v>
      </c>
      <c r="C4" s="28">
        <v>1.5580000000000001</v>
      </c>
      <c r="D4" s="13">
        <v>925</v>
      </c>
      <c r="E4" s="13" t="s">
        <v>16</v>
      </c>
      <c r="F4" s="9" t="s">
        <v>87</v>
      </c>
      <c r="G4" s="8" t="s">
        <v>17</v>
      </c>
    </row>
    <row r="5" spans="2:9" x14ac:dyDescent="0.3">
      <c r="B5" s="84"/>
      <c r="C5" s="28">
        <v>0.92249999999999999</v>
      </c>
      <c r="D5" s="13">
        <v>615</v>
      </c>
      <c r="E5" s="13" t="s">
        <v>16</v>
      </c>
      <c r="F5" s="11" t="s">
        <v>88</v>
      </c>
      <c r="G5" s="8" t="s">
        <v>17</v>
      </c>
    </row>
    <row r="6" spans="2:9" x14ac:dyDescent="0.3">
      <c r="B6" s="85" t="s">
        <v>7</v>
      </c>
      <c r="C6" s="30">
        <v>1.9349999999999999E-2</v>
      </c>
      <c r="D6" s="13">
        <v>820</v>
      </c>
      <c r="E6" s="13" t="s">
        <v>16</v>
      </c>
      <c r="F6" s="9" t="s">
        <v>87</v>
      </c>
      <c r="G6" s="8" t="s">
        <v>17</v>
      </c>
    </row>
    <row r="7" spans="2:9" x14ac:dyDescent="0.3">
      <c r="B7" s="86"/>
      <c r="C7" s="30">
        <v>8.7899999999999992E-3</v>
      </c>
      <c r="D7" s="13">
        <v>820</v>
      </c>
      <c r="E7" s="13" t="s">
        <v>16</v>
      </c>
      <c r="F7" s="11" t="s">
        <v>88</v>
      </c>
      <c r="G7" s="8" t="s">
        <v>17</v>
      </c>
    </row>
    <row r="8" spans="2:9" x14ac:dyDescent="0.3">
      <c r="B8" s="24" t="s">
        <v>4</v>
      </c>
      <c r="C8" s="30">
        <v>3.4720000000000001E-2</v>
      </c>
      <c r="D8" s="13">
        <v>200</v>
      </c>
      <c r="E8" s="13" t="s">
        <v>16</v>
      </c>
      <c r="F8" s="11"/>
      <c r="G8" s="8"/>
    </row>
    <row r="9" spans="2:9" x14ac:dyDescent="0.3">
      <c r="B9" s="87" t="s">
        <v>51</v>
      </c>
      <c r="C9" s="13">
        <v>100</v>
      </c>
      <c r="D9" s="13">
        <v>0</v>
      </c>
      <c r="E9" s="14" t="s">
        <v>16</v>
      </c>
      <c r="F9" s="15" t="s">
        <v>92</v>
      </c>
      <c r="G9" s="8"/>
      <c r="I9" s="4" t="s">
        <v>353</v>
      </c>
    </row>
    <row r="10" spans="2:9" x14ac:dyDescent="0.3">
      <c r="B10" s="88"/>
      <c r="C10" s="13">
        <v>150</v>
      </c>
      <c r="D10" s="13">
        <v>0</v>
      </c>
      <c r="E10" s="14" t="s">
        <v>16</v>
      </c>
      <c r="F10" s="15" t="s">
        <v>93</v>
      </c>
      <c r="G10" s="8"/>
      <c r="I10" s="4" t="s">
        <v>354</v>
      </c>
    </row>
    <row r="11" spans="2:9" x14ac:dyDescent="0.3">
      <c r="B11" s="89"/>
      <c r="C11" s="13">
        <v>200</v>
      </c>
      <c r="D11" s="13">
        <v>0</v>
      </c>
      <c r="E11" s="14" t="s">
        <v>16</v>
      </c>
      <c r="F11" s="15" t="s">
        <v>94</v>
      </c>
      <c r="G11" s="8"/>
    </row>
    <row r="12" spans="2:9" x14ac:dyDescent="0.3">
      <c r="B12" s="24" t="s">
        <v>25</v>
      </c>
      <c r="C12" s="18">
        <v>1.25E-3</v>
      </c>
      <c r="D12" s="7">
        <v>0</v>
      </c>
      <c r="E12" s="7" t="s">
        <v>16</v>
      </c>
      <c r="F12" s="11" t="s">
        <v>68</v>
      </c>
      <c r="G12" s="8" t="s">
        <v>17</v>
      </c>
    </row>
    <row r="13" spans="2:9" x14ac:dyDescent="0.3">
      <c r="B13" s="24" t="s">
        <v>27</v>
      </c>
      <c r="C13" s="18">
        <v>600</v>
      </c>
      <c r="D13" s="7">
        <v>0</v>
      </c>
      <c r="E13" s="7" t="s">
        <v>16</v>
      </c>
      <c r="F13" s="11" t="s">
        <v>69</v>
      </c>
      <c r="G13" s="8" t="s">
        <v>17</v>
      </c>
    </row>
    <row r="14" spans="2:9" x14ac:dyDescent="0.3">
      <c r="B14" s="24" t="s">
        <v>29</v>
      </c>
      <c r="C14" s="18">
        <v>800</v>
      </c>
      <c r="D14" s="7"/>
      <c r="E14" s="7" t="s">
        <v>16</v>
      </c>
      <c r="F14" s="11" t="s">
        <v>69</v>
      </c>
      <c r="G14" s="8" t="s">
        <v>17</v>
      </c>
    </row>
    <row r="15" spans="2:9" x14ac:dyDescent="0.3">
      <c r="B15" s="19" t="s">
        <v>31</v>
      </c>
      <c r="C15" s="18">
        <v>100</v>
      </c>
      <c r="D15" s="7"/>
      <c r="E15" s="7" t="s">
        <v>16</v>
      </c>
      <c r="F15" s="9" t="s">
        <v>82</v>
      </c>
      <c r="G15" s="8" t="s">
        <v>17</v>
      </c>
    </row>
    <row r="16" spans="2:9" x14ac:dyDescent="0.3">
      <c r="B16" s="19" t="s">
        <v>33</v>
      </c>
      <c r="C16" s="18">
        <v>5</v>
      </c>
      <c r="D16" s="7"/>
      <c r="E16" s="7" t="s">
        <v>16</v>
      </c>
      <c r="F16" s="9" t="s">
        <v>34</v>
      </c>
      <c r="G16" s="8" t="s">
        <v>17</v>
      </c>
    </row>
    <row r="17" spans="2:7" ht="41.4" x14ac:dyDescent="0.3">
      <c r="B17" s="19" t="s">
        <v>35</v>
      </c>
      <c r="C17" s="18">
        <v>2000</v>
      </c>
      <c r="D17" s="7"/>
      <c r="E17" s="7" t="s">
        <v>16</v>
      </c>
      <c r="F17" s="11" t="s">
        <v>83</v>
      </c>
      <c r="G17" s="8" t="s">
        <v>17</v>
      </c>
    </row>
    <row r="18" spans="2:7" x14ac:dyDescent="0.3">
      <c r="B18" s="19" t="s">
        <v>39</v>
      </c>
      <c r="C18" s="18">
        <v>90</v>
      </c>
      <c r="D18" s="7"/>
      <c r="E18" s="7" t="s">
        <v>16</v>
      </c>
      <c r="F18" s="9" t="s">
        <v>84</v>
      </c>
      <c r="G18" s="8" t="s">
        <v>17</v>
      </c>
    </row>
    <row r="19" spans="2:7" ht="27.6" x14ac:dyDescent="0.3">
      <c r="B19" s="19" t="s">
        <v>40</v>
      </c>
      <c r="C19" s="18">
        <v>620</v>
      </c>
      <c r="D19" s="7"/>
      <c r="E19" s="7" t="s">
        <v>16</v>
      </c>
      <c r="F19" s="11" t="s">
        <v>85</v>
      </c>
      <c r="G19" s="8" t="s">
        <v>17</v>
      </c>
    </row>
    <row r="20" spans="2:7" x14ac:dyDescent="0.3">
      <c r="B20" s="19" t="s">
        <v>43</v>
      </c>
      <c r="C20" s="18">
        <v>150</v>
      </c>
      <c r="D20" s="7"/>
      <c r="E20" s="7" t="s">
        <v>16</v>
      </c>
      <c r="F20" s="9" t="s">
        <v>86</v>
      </c>
      <c r="G20" s="8" t="s">
        <v>17</v>
      </c>
    </row>
    <row r="21" spans="2:7" x14ac:dyDescent="0.3">
      <c r="B21" s="19" t="s">
        <v>45</v>
      </c>
      <c r="C21" s="18">
        <v>20</v>
      </c>
      <c r="D21" s="7"/>
      <c r="E21" s="7" t="s">
        <v>16</v>
      </c>
      <c r="F21" s="9" t="s">
        <v>46</v>
      </c>
      <c r="G21" s="8" t="s">
        <v>17</v>
      </c>
    </row>
    <row r="22" spans="2:7" x14ac:dyDescent="0.3">
      <c r="B22" s="19" t="s">
        <v>47</v>
      </c>
      <c r="C22" s="18">
        <v>150</v>
      </c>
      <c r="D22" s="7"/>
      <c r="E22" s="7" t="s">
        <v>16</v>
      </c>
      <c r="F22" s="9" t="s">
        <v>46</v>
      </c>
      <c r="G22" s="8" t="s">
        <v>17</v>
      </c>
    </row>
    <row r="23" spans="2:7" x14ac:dyDescent="0.3">
      <c r="B23" s="19" t="s">
        <v>48</v>
      </c>
      <c r="C23" s="18">
        <v>0</v>
      </c>
      <c r="D23" s="7"/>
      <c r="E23" s="7" t="s">
        <v>37</v>
      </c>
      <c r="F23" s="9"/>
      <c r="G23" s="8" t="s">
        <v>17</v>
      </c>
    </row>
    <row r="24" spans="2:7" x14ac:dyDescent="0.3">
      <c r="B24" s="27"/>
    </row>
  </sheetData>
  <mergeCells count="3">
    <mergeCell ref="B4:B5"/>
    <mergeCell ref="B6:B7"/>
    <mergeCell ref="B9:B11"/>
  </mergeCells>
  <conditionalFormatting sqref="G3 G12:G23">
    <cfRule type="containsText" dxfId="95" priority="7" operator="containsText" text="Verified">
      <formula>NOT(ISERROR(SEARCH("Verified",G3)))</formula>
    </cfRule>
    <cfRule type="containsText" dxfId="94" priority="8" operator="containsText" text="Verified">
      <formula>NOT(ISERROR(SEARCH("Verified",G3)))</formula>
    </cfRule>
    <cfRule type="containsText" dxfId="93" priority="9" operator="containsText" text="Verified">
      <formula>NOT(ISERROR(SEARCH("Verified",G3)))</formula>
    </cfRule>
  </conditionalFormatting>
  <conditionalFormatting sqref="G4:G8">
    <cfRule type="containsText" dxfId="92" priority="4" operator="containsText" text="Verified">
      <formula>NOT(ISERROR(SEARCH("Verified",G4)))</formula>
    </cfRule>
    <cfRule type="containsText" dxfId="91" priority="5" operator="containsText" text="Verified">
      <formula>NOT(ISERROR(SEARCH("Verified",G4)))</formula>
    </cfRule>
    <cfRule type="containsText" dxfId="90" priority="6" operator="containsText" text="Verified">
      <formula>NOT(ISERROR(SEARCH("Verified",G4)))</formula>
    </cfRule>
  </conditionalFormatting>
  <conditionalFormatting sqref="G9:G11">
    <cfRule type="containsText" dxfId="89" priority="1" operator="containsText" text="Verified">
      <formula>NOT(ISERROR(SEARCH("Verified",G9)))</formula>
    </cfRule>
    <cfRule type="containsText" dxfId="88" priority="2" operator="containsText" text="Verified">
      <formula>NOT(ISERROR(SEARCH("Verified",G9)))</formula>
    </cfRule>
    <cfRule type="containsText" dxfId="87" priority="3" operator="containsText" text="Verified">
      <formula>NOT(ISERROR(SEARCH("Verified",G9)))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1BF0C-1A4F-4C4C-A610-B5EAE2EE8F8B}">
  <sheetPr>
    <tabColor rgb="FFFFFF00"/>
  </sheetPr>
  <dimension ref="B1:G23"/>
  <sheetViews>
    <sheetView showGridLines="0" zoomScaleNormal="100" workbookViewId="0">
      <pane ySplit="2" topLeftCell="A3" activePane="bottomLeft" state="frozen"/>
      <selection activeCell="C7" sqref="C7:F12"/>
      <selection pane="bottomLeft" activeCell="A9" sqref="A9:XFD11"/>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 style="4" bestFit="1" customWidth="1"/>
    <col min="7" max="7" width="8.33203125" style="4" bestFit="1" customWidth="1"/>
    <col min="8" max="16384" width="9.109375" style="4"/>
  </cols>
  <sheetData>
    <row r="1" spans="2:7" x14ac:dyDescent="0.3">
      <c r="B1" s="3" t="s">
        <v>9</v>
      </c>
    </row>
    <row r="2" spans="2:7" x14ac:dyDescent="0.3">
      <c r="B2" s="5" t="s">
        <v>1</v>
      </c>
      <c r="C2" s="5" t="s">
        <v>10</v>
      </c>
      <c r="D2" s="5" t="s">
        <v>11</v>
      </c>
      <c r="E2" s="5" t="s">
        <v>12</v>
      </c>
      <c r="F2" s="5" t="s">
        <v>13</v>
      </c>
      <c r="G2" s="5" t="s">
        <v>14</v>
      </c>
    </row>
    <row r="3" spans="2:7" x14ac:dyDescent="0.3">
      <c r="B3" s="12" t="s">
        <v>15</v>
      </c>
      <c r="C3" s="13">
        <v>5.4179999999999999E-2</v>
      </c>
      <c r="D3" s="13">
        <v>275</v>
      </c>
      <c r="E3" s="14" t="s">
        <v>16</v>
      </c>
      <c r="F3" s="15" t="s">
        <v>49</v>
      </c>
      <c r="G3" s="8" t="s">
        <v>17</v>
      </c>
    </row>
    <row r="4" spans="2:7" x14ac:dyDescent="0.3">
      <c r="B4" s="87" t="s">
        <v>18</v>
      </c>
      <c r="C4" s="90">
        <v>0.69940000000000002</v>
      </c>
      <c r="D4" s="13">
        <v>2100</v>
      </c>
      <c r="E4" s="14" t="s">
        <v>16</v>
      </c>
      <c r="F4" s="15" t="s">
        <v>19</v>
      </c>
      <c r="G4" s="8" t="s">
        <v>17</v>
      </c>
    </row>
    <row r="5" spans="2:7" x14ac:dyDescent="0.3">
      <c r="B5" s="89"/>
      <c r="C5" s="91"/>
      <c r="D5" s="13">
        <v>6550</v>
      </c>
      <c r="E5" s="14" t="s">
        <v>16</v>
      </c>
      <c r="F5" s="15" t="s">
        <v>20</v>
      </c>
      <c r="G5" s="8" t="s">
        <v>17</v>
      </c>
    </row>
    <row r="6" spans="2:7" x14ac:dyDescent="0.3">
      <c r="B6" s="12" t="s">
        <v>21</v>
      </c>
      <c r="C6" s="16">
        <v>0.82530000000000003</v>
      </c>
      <c r="D6" s="13">
        <v>13125</v>
      </c>
      <c r="E6" s="14" t="s">
        <v>16</v>
      </c>
      <c r="F6" s="15" t="s">
        <v>22</v>
      </c>
      <c r="G6" s="8" t="s">
        <v>17</v>
      </c>
    </row>
    <row r="7" spans="2:7" x14ac:dyDescent="0.3">
      <c r="B7" s="12" t="s">
        <v>23</v>
      </c>
      <c r="C7" s="13">
        <v>9.1350000000000008E-3</v>
      </c>
      <c r="D7" s="13">
        <v>640</v>
      </c>
      <c r="E7" s="14" t="s">
        <v>16</v>
      </c>
      <c r="F7" s="15" t="s">
        <v>24</v>
      </c>
      <c r="G7" s="8" t="s">
        <v>17</v>
      </c>
    </row>
    <row r="8" spans="2:7" x14ac:dyDescent="0.3">
      <c r="B8" s="12" t="s">
        <v>50</v>
      </c>
      <c r="C8" s="13">
        <v>3.4720000000000001E-2</v>
      </c>
      <c r="D8" s="13">
        <v>200</v>
      </c>
      <c r="E8" s="14" t="s">
        <v>16</v>
      </c>
      <c r="F8" s="15"/>
      <c r="G8" s="8"/>
    </row>
    <row r="9" spans="2:7" x14ac:dyDescent="0.3">
      <c r="B9" s="87" t="s">
        <v>51</v>
      </c>
      <c r="C9" s="13">
        <v>100</v>
      </c>
      <c r="D9" s="13">
        <v>0</v>
      </c>
      <c r="E9" s="14" t="s">
        <v>16</v>
      </c>
      <c r="F9" s="15" t="s">
        <v>92</v>
      </c>
      <c r="G9" s="8"/>
    </row>
    <row r="10" spans="2:7" x14ac:dyDescent="0.3">
      <c r="B10" s="88"/>
      <c r="C10" s="13">
        <v>150</v>
      </c>
      <c r="D10" s="13">
        <v>0</v>
      </c>
      <c r="E10" s="14" t="s">
        <v>16</v>
      </c>
      <c r="F10" s="15" t="s">
        <v>93</v>
      </c>
      <c r="G10" s="8"/>
    </row>
    <row r="11" spans="2:7" x14ac:dyDescent="0.3">
      <c r="B11" s="89"/>
      <c r="C11" s="13">
        <v>200</v>
      </c>
      <c r="D11" s="13">
        <v>0</v>
      </c>
      <c r="E11" s="14" t="s">
        <v>16</v>
      </c>
      <c r="F11" s="15" t="s">
        <v>94</v>
      </c>
      <c r="G11" s="8"/>
    </row>
    <row r="12" spans="2:7" x14ac:dyDescent="0.3">
      <c r="B12" s="12" t="s">
        <v>25</v>
      </c>
      <c r="C12" s="13">
        <v>1.0200000000000001E-3</v>
      </c>
      <c r="D12" s="13">
        <v>0</v>
      </c>
      <c r="E12" s="14" t="s">
        <v>16</v>
      </c>
      <c r="F12" s="15" t="s">
        <v>26</v>
      </c>
      <c r="G12" s="8" t="s">
        <v>17</v>
      </c>
    </row>
    <row r="13" spans="2:7" ht="27.6" x14ac:dyDescent="0.3">
      <c r="B13" s="6" t="s">
        <v>27</v>
      </c>
      <c r="C13" s="7">
        <v>1755</v>
      </c>
      <c r="D13" s="7">
        <v>0</v>
      </c>
      <c r="E13" s="8" t="s">
        <v>16</v>
      </c>
      <c r="F13" s="11" t="s">
        <v>28</v>
      </c>
      <c r="G13" s="8" t="s">
        <v>17</v>
      </c>
    </row>
    <row r="14" spans="2:7" x14ac:dyDescent="0.3">
      <c r="B14" s="6" t="s">
        <v>29</v>
      </c>
      <c r="C14" s="10">
        <v>800</v>
      </c>
      <c r="D14" s="7">
        <v>0</v>
      </c>
      <c r="E14" s="8" t="s">
        <v>16</v>
      </c>
      <c r="F14" s="9" t="s">
        <v>30</v>
      </c>
      <c r="G14" s="8" t="s">
        <v>17</v>
      </c>
    </row>
    <row r="15" spans="2:7" x14ac:dyDescent="0.3">
      <c r="B15" s="6" t="s">
        <v>31</v>
      </c>
      <c r="C15" s="7">
        <v>100</v>
      </c>
      <c r="D15" s="7">
        <v>0</v>
      </c>
      <c r="E15" s="8" t="s">
        <v>16</v>
      </c>
      <c r="F15" s="9" t="s">
        <v>32</v>
      </c>
      <c r="G15" s="8" t="s">
        <v>17</v>
      </c>
    </row>
    <row r="16" spans="2:7" x14ac:dyDescent="0.3">
      <c r="B16" s="6" t="s">
        <v>33</v>
      </c>
      <c r="C16" s="10">
        <v>5</v>
      </c>
      <c r="D16" s="7">
        <v>0</v>
      </c>
      <c r="E16" s="8" t="s">
        <v>16</v>
      </c>
      <c r="F16" s="9" t="s">
        <v>34</v>
      </c>
      <c r="G16" s="8" t="s">
        <v>17</v>
      </c>
    </row>
    <row r="17" spans="2:7" x14ac:dyDescent="0.3">
      <c r="B17" s="6" t="s">
        <v>35</v>
      </c>
      <c r="C17" s="7" t="s">
        <v>36</v>
      </c>
      <c r="D17" s="7">
        <v>0</v>
      </c>
      <c r="E17" s="8" t="s">
        <v>37</v>
      </c>
      <c r="F17" s="9"/>
      <c r="G17" s="8" t="s">
        <v>38</v>
      </c>
    </row>
    <row r="18" spans="2:7" x14ac:dyDescent="0.3">
      <c r="B18" s="6" t="s">
        <v>39</v>
      </c>
      <c r="C18" s="10" t="s">
        <v>36</v>
      </c>
      <c r="D18" s="7">
        <v>0</v>
      </c>
      <c r="E18" s="8" t="s">
        <v>37</v>
      </c>
      <c r="F18" s="9"/>
      <c r="G18" s="8" t="s">
        <v>38</v>
      </c>
    </row>
    <row r="19" spans="2:7" x14ac:dyDescent="0.3">
      <c r="B19" s="6" t="s">
        <v>40</v>
      </c>
      <c r="C19" s="7">
        <v>15000</v>
      </c>
      <c r="D19" s="7">
        <v>0</v>
      </c>
      <c r="E19" s="8" t="s">
        <v>41</v>
      </c>
      <c r="F19" s="9" t="s">
        <v>42</v>
      </c>
      <c r="G19" s="8" t="s">
        <v>38</v>
      </c>
    </row>
    <row r="20" spans="2:7" x14ac:dyDescent="0.3">
      <c r="B20" s="6" t="s">
        <v>43</v>
      </c>
      <c r="C20" s="10">
        <v>150</v>
      </c>
      <c r="D20" s="7">
        <v>0</v>
      </c>
      <c r="E20" s="8" t="s">
        <v>16</v>
      </c>
      <c r="F20" s="9" t="s">
        <v>44</v>
      </c>
      <c r="G20" s="8" t="s">
        <v>17</v>
      </c>
    </row>
    <row r="21" spans="2:7" x14ac:dyDescent="0.3">
      <c r="B21" s="6" t="s">
        <v>45</v>
      </c>
      <c r="C21" s="7">
        <v>50</v>
      </c>
      <c r="D21" s="7">
        <v>0</v>
      </c>
      <c r="E21" s="8" t="s">
        <v>16</v>
      </c>
      <c r="F21" s="9" t="s">
        <v>46</v>
      </c>
      <c r="G21" s="8" t="s">
        <v>17</v>
      </c>
    </row>
    <row r="22" spans="2:7" x14ac:dyDescent="0.3">
      <c r="B22" s="6" t="s">
        <v>47</v>
      </c>
      <c r="C22" s="10">
        <v>150</v>
      </c>
      <c r="D22" s="7">
        <v>0</v>
      </c>
      <c r="E22" s="8" t="s">
        <v>16</v>
      </c>
      <c r="F22" s="9" t="s">
        <v>46</v>
      </c>
      <c r="G22" s="8" t="s">
        <v>17</v>
      </c>
    </row>
    <row r="23" spans="2:7" x14ac:dyDescent="0.3">
      <c r="B23" s="6" t="s">
        <v>48</v>
      </c>
      <c r="C23" s="7">
        <v>0.373</v>
      </c>
      <c r="D23" s="7">
        <v>0</v>
      </c>
      <c r="E23" s="8" t="s">
        <v>16</v>
      </c>
      <c r="F23" s="9"/>
      <c r="G23" s="8" t="s">
        <v>17</v>
      </c>
    </row>
  </sheetData>
  <mergeCells count="3">
    <mergeCell ref="B4:B5"/>
    <mergeCell ref="C4:C5"/>
    <mergeCell ref="B9:B11"/>
  </mergeCells>
  <conditionalFormatting sqref="G3:G11">
    <cfRule type="containsText" dxfId="86" priority="7" operator="containsText" text="Verified">
      <formula>NOT(ISERROR(SEARCH("Verified",G3)))</formula>
    </cfRule>
    <cfRule type="containsText" dxfId="85" priority="8" operator="containsText" text="Verified">
      <formula>NOT(ISERROR(SEARCH("Verified",G3)))</formula>
    </cfRule>
    <cfRule type="containsText" dxfId="84" priority="9" operator="containsText" text="Verified">
      <formula>NOT(ISERROR(SEARCH("Verified",G3)))</formula>
    </cfRule>
  </conditionalFormatting>
  <conditionalFormatting sqref="G13:G23">
    <cfRule type="containsText" dxfId="83" priority="4" operator="containsText" text="Verified">
      <formula>NOT(ISERROR(SEARCH("Verified",G13)))</formula>
    </cfRule>
    <cfRule type="containsText" dxfId="82" priority="5" operator="containsText" text="Verified">
      <formula>NOT(ISERROR(SEARCH("Verified",G13)))</formula>
    </cfRule>
    <cfRule type="containsText" dxfId="81" priority="6" operator="containsText" text="Verified">
      <formula>NOT(ISERROR(SEARCH("Verified",G13)))</formula>
    </cfRule>
  </conditionalFormatting>
  <conditionalFormatting sqref="G12">
    <cfRule type="containsText" dxfId="80" priority="1" operator="containsText" text="Verified">
      <formula>NOT(ISERROR(SEARCH("Verified",G12)))</formula>
    </cfRule>
    <cfRule type="containsText" dxfId="79" priority="2" operator="containsText" text="Verified">
      <formula>NOT(ISERROR(SEARCH("Verified",G12)))</formula>
    </cfRule>
    <cfRule type="containsText" dxfId="78" priority="3" operator="containsText" text="Verified">
      <formula>NOT(ISERROR(SEARCH("Verified",G12)))</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DE7FF-5D4F-4AA5-A6EF-2F381FCCF6D2}">
  <sheetPr>
    <tabColor rgb="FFFFFF00"/>
  </sheetPr>
  <dimension ref="B1:H23"/>
  <sheetViews>
    <sheetView showGridLines="0" zoomScaleNormal="100" workbookViewId="0">
      <pane ySplit="1" topLeftCell="A2" activePane="bottomLeft" state="frozen"/>
      <selection activeCell="C10" sqref="C10:C12"/>
      <selection pane="bottomLeft" activeCell="C12" sqref="C12"/>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5.5546875" style="4" bestFit="1" customWidth="1"/>
    <col min="7" max="7" width="8.33203125" style="4" bestFit="1" customWidth="1"/>
    <col min="8" max="16384" width="9.109375" style="4"/>
  </cols>
  <sheetData>
    <row r="1" spans="2:8" x14ac:dyDescent="0.3">
      <c r="B1" s="3" t="s">
        <v>100</v>
      </c>
    </row>
    <row r="2" spans="2:8" x14ac:dyDescent="0.3">
      <c r="B2" s="17" t="s">
        <v>1</v>
      </c>
      <c r="C2" s="17" t="s">
        <v>10</v>
      </c>
      <c r="D2" s="17" t="s">
        <v>11</v>
      </c>
      <c r="E2" s="17" t="s">
        <v>12</v>
      </c>
      <c r="F2" s="17" t="s">
        <v>13</v>
      </c>
      <c r="G2" s="17" t="s">
        <v>14</v>
      </c>
    </row>
    <row r="3" spans="2:8" x14ac:dyDescent="0.3">
      <c r="B3" s="19" t="s">
        <v>15</v>
      </c>
      <c r="C3" s="7">
        <v>5.4179999999999999E-2</v>
      </c>
      <c r="D3" s="7">
        <v>275</v>
      </c>
      <c r="E3" s="7" t="s">
        <v>16</v>
      </c>
      <c r="F3" s="9" t="s">
        <v>105</v>
      </c>
      <c r="G3" s="8" t="s">
        <v>17</v>
      </c>
    </row>
    <row r="4" spans="2:8" x14ac:dyDescent="0.3">
      <c r="B4" s="85" t="s">
        <v>54</v>
      </c>
      <c r="C4" s="33">
        <v>1.9731000000000001</v>
      </c>
      <c r="D4" s="7">
        <v>0</v>
      </c>
      <c r="E4" s="7" t="s">
        <v>16</v>
      </c>
      <c r="F4" s="9" t="s">
        <v>101</v>
      </c>
      <c r="G4" s="8" t="s">
        <v>17</v>
      </c>
    </row>
    <row r="5" spans="2:8" x14ac:dyDescent="0.3">
      <c r="B5" s="86"/>
      <c r="C5" s="33">
        <v>2.0743</v>
      </c>
      <c r="D5" s="7">
        <v>0</v>
      </c>
      <c r="E5" s="7" t="s">
        <v>16</v>
      </c>
      <c r="F5" s="9" t="s">
        <v>102</v>
      </c>
      <c r="G5" s="8" t="s">
        <v>17</v>
      </c>
    </row>
    <row r="6" spans="2:8" x14ac:dyDescent="0.3">
      <c r="B6" s="85" t="s">
        <v>7</v>
      </c>
      <c r="C6" s="18">
        <v>0.01</v>
      </c>
      <c r="D6" s="7">
        <v>720</v>
      </c>
      <c r="E6" s="7" t="s">
        <v>16</v>
      </c>
      <c r="F6" s="9" t="s">
        <v>101</v>
      </c>
      <c r="G6" s="8" t="s">
        <v>17</v>
      </c>
    </row>
    <row r="7" spans="2:8" x14ac:dyDescent="0.3">
      <c r="B7" s="86"/>
      <c r="C7" s="18">
        <v>1.0500000000000001E-2</v>
      </c>
      <c r="D7" s="7">
        <v>0</v>
      </c>
      <c r="E7" s="7" t="s">
        <v>16</v>
      </c>
      <c r="F7" s="9" t="s">
        <v>102</v>
      </c>
      <c r="G7" s="8" t="s">
        <v>17</v>
      </c>
    </row>
    <row r="8" spans="2:8" x14ac:dyDescent="0.3">
      <c r="B8" s="29" t="s">
        <v>4</v>
      </c>
      <c r="C8" s="18">
        <v>3.4720000000000001E-2</v>
      </c>
      <c r="D8" s="7">
        <v>0</v>
      </c>
      <c r="E8" s="7" t="s">
        <v>16</v>
      </c>
      <c r="F8" s="9"/>
      <c r="G8" s="8"/>
    </row>
    <row r="9" spans="2:8" x14ac:dyDescent="0.3">
      <c r="B9" s="87" t="s">
        <v>51</v>
      </c>
      <c r="C9" s="13">
        <v>100</v>
      </c>
      <c r="D9" s="13">
        <v>0</v>
      </c>
      <c r="E9" s="14" t="s">
        <v>16</v>
      </c>
      <c r="F9" s="15" t="s">
        <v>92</v>
      </c>
      <c r="G9" s="8"/>
    </row>
    <row r="10" spans="2:8" x14ac:dyDescent="0.3">
      <c r="B10" s="88"/>
      <c r="C10" s="13">
        <v>200</v>
      </c>
      <c r="D10" s="13">
        <v>0</v>
      </c>
      <c r="E10" s="14" t="s">
        <v>16</v>
      </c>
      <c r="F10" s="15" t="s">
        <v>93</v>
      </c>
      <c r="G10" s="8"/>
    </row>
    <row r="11" spans="2:8" x14ac:dyDescent="0.3">
      <c r="B11" s="89"/>
      <c r="C11" s="13">
        <v>350</v>
      </c>
      <c r="D11" s="13">
        <v>0</v>
      </c>
      <c r="E11" s="14" t="s">
        <v>16</v>
      </c>
      <c r="F11" s="15" t="s">
        <v>94</v>
      </c>
      <c r="G11" s="8"/>
    </row>
    <row r="12" spans="2:8" x14ac:dyDescent="0.3">
      <c r="B12" s="29" t="s">
        <v>25</v>
      </c>
      <c r="C12" s="18">
        <v>1E-3</v>
      </c>
      <c r="D12" s="7">
        <v>0</v>
      </c>
      <c r="E12" s="7" t="s">
        <v>16</v>
      </c>
      <c r="F12" s="11"/>
      <c r="G12" s="8" t="s">
        <v>17</v>
      </c>
    </row>
    <row r="13" spans="2:8" x14ac:dyDescent="0.3">
      <c r="B13" s="29" t="s">
        <v>27</v>
      </c>
      <c r="C13" s="18">
        <v>540</v>
      </c>
      <c r="D13" s="7">
        <v>0</v>
      </c>
      <c r="E13" s="7" t="s">
        <v>16</v>
      </c>
      <c r="F13" s="11" t="s">
        <v>103</v>
      </c>
      <c r="G13" s="8" t="s">
        <v>17</v>
      </c>
    </row>
    <row r="14" spans="2:8" x14ac:dyDescent="0.3">
      <c r="B14" s="29" t="s">
        <v>29</v>
      </c>
      <c r="C14" s="18">
        <v>800</v>
      </c>
      <c r="D14" s="7">
        <v>0</v>
      </c>
      <c r="E14" s="7" t="s">
        <v>16</v>
      </c>
      <c r="F14" s="11" t="s">
        <v>30</v>
      </c>
      <c r="G14" s="8" t="s">
        <v>17</v>
      </c>
    </row>
    <row r="15" spans="2:8" x14ac:dyDescent="0.3">
      <c r="B15" s="19" t="s">
        <v>31</v>
      </c>
      <c r="C15" s="18">
        <v>100</v>
      </c>
      <c r="D15" s="7"/>
      <c r="E15" s="7" t="s">
        <v>16</v>
      </c>
      <c r="F15" s="9"/>
      <c r="G15" s="8" t="s">
        <v>17</v>
      </c>
      <c r="H15" s="34"/>
    </row>
    <row r="16" spans="2:8" x14ac:dyDescent="0.3">
      <c r="B16" s="19" t="s">
        <v>33</v>
      </c>
      <c r="C16" s="18">
        <v>3</v>
      </c>
      <c r="D16" s="7"/>
      <c r="E16" s="7" t="s">
        <v>16</v>
      </c>
      <c r="F16" s="9"/>
      <c r="G16" s="8" t="s">
        <v>17</v>
      </c>
      <c r="H16" s="34"/>
    </row>
    <row r="17" spans="2:7" x14ac:dyDescent="0.3">
      <c r="B17" s="19" t="s">
        <v>35</v>
      </c>
      <c r="C17" s="18" t="s">
        <v>36</v>
      </c>
      <c r="D17" s="7"/>
      <c r="E17" s="7" t="s">
        <v>37</v>
      </c>
      <c r="F17" s="9"/>
      <c r="G17" s="8" t="s">
        <v>17</v>
      </c>
    </row>
    <row r="18" spans="2:7" x14ac:dyDescent="0.3">
      <c r="B18" s="19" t="s">
        <v>39</v>
      </c>
      <c r="C18" s="18">
        <v>90</v>
      </c>
      <c r="D18" s="7">
        <v>0</v>
      </c>
      <c r="E18" s="7" t="s">
        <v>16</v>
      </c>
      <c r="F18" s="9" t="s">
        <v>104</v>
      </c>
      <c r="G18" s="8" t="s">
        <v>17</v>
      </c>
    </row>
    <row r="19" spans="2:7" x14ac:dyDescent="0.3">
      <c r="B19" s="19" t="s">
        <v>40</v>
      </c>
      <c r="C19" s="18" t="s">
        <v>36</v>
      </c>
      <c r="D19" s="7"/>
      <c r="E19" s="7" t="s">
        <v>37</v>
      </c>
      <c r="F19" s="9"/>
      <c r="G19" s="8" t="s">
        <v>17</v>
      </c>
    </row>
    <row r="20" spans="2:7" x14ac:dyDescent="0.3">
      <c r="B20" s="19" t="s">
        <v>43</v>
      </c>
      <c r="C20" s="18">
        <v>150</v>
      </c>
      <c r="D20" s="7">
        <v>0</v>
      </c>
      <c r="E20" s="7" t="s">
        <v>16</v>
      </c>
      <c r="F20" s="9" t="s">
        <v>72</v>
      </c>
      <c r="G20" s="8" t="s">
        <v>17</v>
      </c>
    </row>
    <row r="21" spans="2:7" x14ac:dyDescent="0.3">
      <c r="B21" s="19" t="s">
        <v>45</v>
      </c>
      <c r="C21" s="18">
        <v>20</v>
      </c>
      <c r="D21" s="7">
        <v>0</v>
      </c>
      <c r="E21" s="7" t="s">
        <v>16</v>
      </c>
      <c r="F21" s="9" t="s">
        <v>46</v>
      </c>
      <c r="G21" s="8" t="s">
        <v>17</v>
      </c>
    </row>
    <row r="22" spans="2:7" x14ac:dyDescent="0.3">
      <c r="B22" s="19" t="s">
        <v>47</v>
      </c>
      <c r="C22" s="18">
        <v>150</v>
      </c>
      <c r="D22" s="7">
        <v>0</v>
      </c>
      <c r="E22" s="7" t="s">
        <v>16</v>
      </c>
      <c r="F22" s="9" t="s">
        <v>46</v>
      </c>
      <c r="G22" s="8" t="s">
        <v>17</v>
      </c>
    </row>
    <row r="23" spans="2:7" x14ac:dyDescent="0.3">
      <c r="B23" s="19" t="s">
        <v>48</v>
      </c>
      <c r="C23" s="18">
        <v>0</v>
      </c>
      <c r="D23" s="7"/>
      <c r="E23" s="7" t="s">
        <v>37</v>
      </c>
      <c r="F23" s="9"/>
      <c r="G23" s="8" t="s">
        <v>17</v>
      </c>
    </row>
  </sheetData>
  <mergeCells count="3">
    <mergeCell ref="B4:B5"/>
    <mergeCell ref="B6:B7"/>
    <mergeCell ref="B9:B11"/>
  </mergeCells>
  <conditionalFormatting sqref="G3:G6 G12:G22">
    <cfRule type="containsText" dxfId="77" priority="10" operator="containsText" text="Verified">
      <formula>NOT(ISERROR(SEARCH("Verified",G3)))</formula>
    </cfRule>
    <cfRule type="containsText" dxfId="76" priority="11" operator="containsText" text="Verified">
      <formula>NOT(ISERROR(SEARCH("Verified",G3)))</formula>
    </cfRule>
    <cfRule type="containsText" dxfId="75" priority="12" operator="containsText" text="Verified">
      <formula>NOT(ISERROR(SEARCH("Verified",G3)))</formula>
    </cfRule>
  </conditionalFormatting>
  <conditionalFormatting sqref="G23">
    <cfRule type="containsText" dxfId="74" priority="7" operator="containsText" text="Verified">
      <formula>NOT(ISERROR(SEARCH("Verified",G23)))</formula>
    </cfRule>
    <cfRule type="containsText" dxfId="73" priority="8" operator="containsText" text="Verified">
      <formula>NOT(ISERROR(SEARCH("Verified",G23)))</formula>
    </cfRule>
    <cfRule type="containsText" dxfId="72" priority="9" operator="containsText" text="Verified">
      <formula>NOT(ISERROR(SEARCH("Verified",G23)))</formula>
    </cfRule>
  </conditionalFormatting>
  <conditionalFormatting sqref="G7:G8">
    <cfRule type="containsText" dxfId="71" priority="4" operator="containsText" text="Verified">
      <formula>NOT(ISERROR(SEARCH("Verified",G7)))</formula>
    </cfRule>
    <cfRule type="containsText" dxfId="70" priority="5" operator="containsText" text="Verified">
      <formula>NOT(ISERROR(SEARCH("Verified",G7)))</formula>
    </cfRule>
    <cfRule type="containsText" dxfId="69" priority="6" operator="containsText" text="Verified">
      <formula>NOT(ISERROR(SEARCH("Verified",G7)))</formula>
    </cfRule>
  </conditionalFormatting>
  <conditionalFormatting sqref="G9:G12">
    <cfRule type="containsText" dxfId="68" priority="1" operator="containsText" text="Verified">
      <formula>NOT(ISERROR(SEARCH("Verified",G9)))</formula>
    </cfRule>
    <cfRule type="containsText" dxfId="67" priority="2" operator="containsText" text="Verified">
      <formula>NOT(ISERROR(SEARCH("Verified",G9)))</formula>
    </cfRule>
    <cfRule type="containsText" dxfId="66" priority="3" operator="containsText" text="Verified">
      <formula>NOT(ISERROR(SEARCH("Verified",G9)))</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8151-3A67-45A6-9237-D51E38893D4B}">
  <sheetPr>
    <tabColor rgb="FFFFFF00"/>
  </sheetPr>
  <dimension ref="B1:I49"/>
  <sheetViews>
    <sheetView showGridLines="0" zoomScaleNormal="100" workbookViewId="0">
      <pane ySplit="1" topLeftCell="A2" activePane="bottomLeft" state="frozen"/>
      <selection activeCell="C10" sqref="C10:C12"/>
      <selection pane="bottomLeft" activeCell="C10" sqref="C10:C12"/>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16384" width="9.109375" style="4"/>
  </cols>
  <sheetData>
    <row r="1" spans="2:9" x14ac:dyDescent="0.3">
      <c r="B1" s="3" t="s">
        <v>118</v>
      </c>
    </row>
    <row r="2" spans="2:9" x14ac:dyDescent="0.3">
      <c r="B2" s="17" t="s">
        <v>1</v>
      </c>
      <c r="C2" s="17" t="s">
        <v>10</v>
      </c>
      <c r="D2" s="17" t="s">
        <v>11</v>
      </c>
      <c r="E2" s="17" t="s">
        <v>12</v>
      </c>
      <c r="F2" s="17" t="s">
        <v>13</v>
      </c>
      <c r="G2" s="17" t="s">
        <v>14</v>
      </c>
    </row>
    <row r="3" spans="2:9" x14ac:dyDescent="0.3">
      <c r="B3" s="92" t="s">
        <v>15</v>
      </c>
      <c r="C3" s="7">
        <v>10.4</v>
      </c>
      <c r="D3" s="7">
        <f>C3*110%</f>
        <v>11.440000000000001</v>
      </c>
      <c r="E3" s="8" t="s">
        <v>41</v>
      </c>
      <c r="F3" s="9" t="s">
        <v>119</v>
      </c>
      <c r="G3" s="8" t="s">
        <v>17</v>
      </c>
    </row>
    <row r="4" spans="2:9" x14ac:dyDescent="0.3">
      <c r="B4" s="93"/>
      <c r="C4" s="7">
        <v>8.65</v>
      </c>
      <c r="D4" s="7">
        <f>C4*110%</f>
        <v>9.5150000000000006</v>
      </c>
      <c r="E4" s="8" t="s">
        <v>41</v>
      </c>
      <c r="F4" s="9" t="s">
        <v>120</v>
      </c>
      <c r="G4" s="8" t="s">
        <v>38</v>
      </c>
    </row>
    <row r="5" spans="2:9" x14ac:dyDescent="0.3">
      <c r="B5" s="94" t="s">
        <v>147</v>
      </c>
      <c r="C5" s="33">
        <v>0</v>
      </c>
      <c r="D5" s="7">
        <v>1830</v>
      </c>
      <c r="E5" s="8" t="s">
        <v>16</v>
      </c>
      <c r="F5" s="9" t="s">
        <v>121</v>
      </c>
      <c r="G5" s="8" t="s">
        <v>17</v>
      </c>
    </row>
    <row r="6" spans="2:9" x14ac:dyDescent="0.3">
      <c r="B6" s="94"/>
      <c r="C6" s="33">
        <v>0.32900000000000001</v>
      </c>
      <c r="D6" s="7">
        <v>3050</v>
      </c>
      <c r="E6" s="8" t="s">
        <v>16</v>
      </c>
      <c r="F6" s="11" t="s">
        <v>122</v>
      </c>
      <c r="G6" s="8" t="s">
        <v>17</v>
      </c>
      <c r="I6" s="4" t="s">
        <v>123</v>
      </c>
    </row>
    <row r="7" spans="2:9" x14ac:dyDescent="0.3">
      <c r="B7" s="94"/>
      <c r="C7" s="33">
        <v>0.378</v>
      </c>
      <c r="D7" s="7">
        <v>0</v>
      </c>
      <c r="E7" s="8" t="s">
        <v>16</v>
      </c>
      <c r="F7" s="11" t="s">
        <v>124</v>
      </c>
      <c r="G7" s="8" t="s">
        <v>17</v>
      </c>
      <c r="I7" s="4" t="s">
        <v>125</v>
      </c>
    </row>
    <row r="8" spans="2:9" x14ac:dyDescent="0.3">
      <c r="B8" s="94"/>
      <c r="C8" s="33">
        <v>0.439</v>
      </c>
      <c r="D8" s="7">
        <v>0</v>
      </c>
      <c r="E8" s="8" t="s">
        <v>16</v>
      </c>
      <c r="F8" s="9" t="s">
        <v>126</v>
      </c>
      <c r="G8" s="8" t="s">
        <v>17</v>
      </c>
      <c r="I8" s="4" t="s">
        <v>127</v>
      </c>
    </row>
    <row r="9" spans="2:9" x14ac:dyDescent="0.3">
      <c r="B9" s="94"/>
      <c r="C9" s="33">
        <v>0.622</v>
      </c>
      <c r="D9" s="7">
        <v>0</v>
      </c>
      <c r="E9" s="8" t="s">
        <v>16</v>
      </c>
      <c r="F9" s="9" t="s">
        <v>128</v>
      </c>
      <c r="G9" s="8" t="s">
        <v>17</v>
      </c>
    </row>
    <row r="10" spans="2:9" x14ac:dyDescent="0.3">
      <c r="B10" s="94"/>
      <c r="C10" s="33">
        <v>0.72</v>
      </c>
      <c r="D10" s="7">
        <v>0</v>
      </c>
      <c r="E10" s="8" t="s">
        <v>16</v>
      </c>
      <c r="F10" s="11" t="s">
        <v>129</v>
      </c>
      <c r="G10" s="8" t="s">
        <v>17</v>
      </c>
    </row>
    <row r="11" spans="2:9" x14ac:dyDescent="0.3">
      <c r="B11" s="94" t="s">
        <v>148</v>
      </c>
      <c r="C11" s="33">
        <v>0</v>
      </c>
      <c r="D11" s="7">
        <v>36600</v>
      </c>
      <c r="E11" s="8" t="s">
        <v>41</v>
      </c>
      <c r="F11" s="9" t="s">
        <v>130</v>
      </c>
      <c r="G11" s="8" t="s">
        <v>38</v>
      </c>
    </row>
    <row r="12" spans="2:9" x14ac:dyDescent="0.3">
      <c r="B12" s="94"/>
      <c r="C12" s="33">
        <v>8.5399999999999991</v>
      </c>
      <c r="D12" s="7">
        <v>36600</v>
      </c>
      <c r="E12" s="8" t="s">
        <v>41</v>
      </c>
      <c r="F12" s="11" t="s">
        <v>122</v>
      </c>
      <c r="G12" s="8" t="s">
        <v>38</v>
      </c>
    </row>
    <row r="13" spans="2:9" x14ac:dyDescent="0.3">
      <c r="B13" s="94"/>
      <c r="C13" s="33">
        <v>9.76</v>
      </c>
      <c r="D13" s="7">
        <v>0</v>
      </c>
      <c r="E13" s="8" t="s">
        <v>41</v>
      </c>
      <c r="F13" s="11" t="s">
        <v>131</v>
      </c>
      <c r="G13" s="8" t="s">
        <v>38</v>
      </c>
      <c r="I13" s="4" t="s">
        <v>132</v>
      </c>
    </row>
    <row r="14" spans="2:9" x14ac:dyDescent="0.3">
      <c r="B14" s="94"/>
      <c r="C14" s="33">
        <v>12.2</v>
      </c>
      <c r="D14" s="7">
        <v>0</v>
      </c>
      <c r="E14" s="8" t="s">
        <v>41</v>
      </c>
      <c r="F14" s="9" t="s">
        <v>133</v>
      </c>
      <c r="G14" s="8" t="s">
        <v>38</v>
      </c>
      <c r="I14" s="4" t="s">
        <v>134</v>
      </c>
    </row>
    <row r="15" spans="2:9" x14ac:dyDescent="0.3">
      <c r="B15" s="94"/>
      <c r="C15" s="33">
        <v>17.079999999999998</v>
      </c>
      <c r="D15" s="7">
        <v>0</v>
      </c>
      <c r="E15" s="8" t="s">
        <v>41</v>
      </c>
      <c r="F15" s="9" t="s">
        <v>135</v>
      </c>
      <c r="G15" s="8" t="s">
        <v>38</v>
      </c>
    </row>
    <row r="16" spans="2:9" x14ac:dyDescent="0.3">
      <c r="B16" s="94"/>
      <c r="C16" s="33">
        <v>19.52</v>
      </c>
      <c r="D16" s="7">
        <v>0</v>
      </c>
      <c r="E16" s="8" t="s">
        <v>41</v>
      </c>
      <c r="F16" s="11" t="s">
        <v>129</v>
      </c>
      <c r="G16" s="8" t="s">
        <v>38</v>
      </c>
    </row>
    <row r="17" spans="2:7" x14ac:dyDescent="0.3">
      <c r="B17" s="94" t="s">
        <v>150</v>
      </c>
      <c r="C17" s="33">
        <v>0</v>
      </c>
      <c r="D17" s="7">
        <v>2074</v>
      </c>
      <c r="E17" s="8" t="s">
        <v>16</v>
      </c>
      <c r="F17" s="9" t="s">
        <v>121</v>
      </c>
      <c r="G17" s="8" t="s">
        <v>17</v>
      </c>
    </row>
    <row r="18" spans="2:7" x14ac:dyDescent="0.3">
      <c r="B18" s="94"/>
      <c r="C18" s="33">
        <v>0.36599999999999999</v>
      </c>
      <c r="D18" s="7">
        <v>3294</v>
      </c>
      <c r="E18" s="8" t="s">
        <v>16</v>
      </c>
      <c r="F18" s="11" t="s">
        <v>122</v>
      </c>
      <c r="G18" s="8" t="s">
        <v>17</v>
      </c>
    </row>
    <row r="19" spans="2:7" x14ac:dyDescent="0.3">
      <c r="B19" s="94"/>
      <c r="C19" s="33">
        <v>0.47599999999999998</v>
      </c>
      <c r="D19" s="7">
        <v>0</v>
      </c>
      <c r="E19" s="8" t="s">
        <v>16</v>
      </c>
      <c r="F19" s="11" t="s">
        <v>143</v>
      </c>
      <c r="G19" s="8" t="s">
        <v>17</v>
      </c>
    </row>
    <row r="20" spans="2:7" x14ac:dyDescent="0.3">
      <c r="B20" s="94"/>
      <c r="C20" s="33">
        <v>0.6</v>
      </c>
      <c r="D20" s="7">
        <v>0</v>
      </c>
      <c r="E20" s="8" t="s">
        <v>16</v>
      </c>
      <c r="F20" s="9" t="s">
        <v>144</v>
      </c>
      <c r="G20" s="8" t="s">
        <v>17</v>
      </c>
    </row>
    <row r="21" spans="2:7" x14ac:dyDescent="0.3">
      <c r="B21" s="94"/>
      <c r="C21" s="33">
        <v>0.73199999999999998</v>
      </c>
      <c r="D21" s="7">
        <v>0</v>
      </c>
      <c r="E21" s="8" t="s">
        <v>16</v>
      </c>
      <c r="F21" s="9" t="s">
        <v>128</v>
      </c>
      <c r="G21" s="8" t="s">
        <v>17</v>
      </c>
    </row>
    <row r="22" spans="2:7" x14ac:dyDescent="0.3">
      <c r="B22" s="94"/>
      <c r="C22" s="33">
        <v>0.79300000000000004</v>
      </c>
      <c r="D22" s="7">
        <v>0</v>
      </c>
      <c r="E22" s="8" t="s">
        <v>16</v>
      </c>
      <c r="F22" s="11" t="s">
        <v>129</v>
      </c>
      <c r="G22" s="8" t="s">
        <v>17</v>
      </c>
    </row>
    <row r="23" spans="2:7" x14ac:dyDescent="0.3">
      <c r="B23" s="94" t="s">
        <v>149</v>
      </c>
      <c r="C23" s="33">
        <v>0</v>
      </c>
      <c r="D23" s="7">
        <v>36600</v>
      </c>
      <c r="E23" s="8" t="s">
        <v>41</v>
      </c>
      <c r="F23" s="9" t="s">
        <v>130</v>
      </c>
      <c r="G23" s="8" t="s">
        <v>38</v>
      </c>
    </row>
    <row r="24" spans="2:7" x14ac:dyDescent="0.3">
      <c r="B24" s="94"/>
      <c r="C24" s="33">
        <v>8.5399999999999991</v>
      </c>
      <c r="D24" s="7">
        <v>36600</v>
      </c>
      <c r="E24" s="8" t="s">
        <v>41</v>
      </c>
      <c r="F24" s="11" t="s">
        <v>122</v>
      </c>
      <c r="G24" s="8" t="s">
        <v>38</v>
      </c>
    </row>
    <row r="25" spans="2:7" x14ac:dyDescent="0.3">
      <c r="B25" s="94"/>
      <c r="C25" s="33">
        <v>9.76</v>
      </c>
      <c r="D25" s="7">
        <v>0</v>
      </c>
      <c r="E25" s="8" t="s">
        <v>41</v>
      </c>
      <c r="F25" s="11" t="s">
        <v>145</v>
      </c>
      <c r="G25" s="8" t="s">
        <v>38</v>
      </c>
    </row>
    <row r="26" spans="2:7" x14ac:dyDescent="0.3">
      <c r="B26" s="94"/>
      <c r="C26" s="33">
        <v>12.2</v>
      </c>
      <c r="D26" s="7">
        <v>0</v>
      </c>
      <c r="E26" s="8" t="s">
        <v>41</v>
      </c>
      <c r="F26" s="9" t="s">
        <v>146</v>
      </c>
      <c r="G26" s="8" t="s">
        <v>38</v>
      </c>
    </row>
    <row r="27" spans="2:7" x14ac:dyDescent="0.3">
      <c r="B27" s="94"/>
      <c r="C27" s="33">
        <v>17.079999999999998</v>
      </c>
      <c r="D27" s="7">
        <v>0</v>
      </c>
      <c r="E27" s="8" t="s">
        <v>41</v>
      </c>
      <c r="F27" s="9" t="s">
        <v>135</v>
      </c>
      <c r="G27" s="8" t="s">
        <v>38</v>
      </c>
    </row>
    <row r="28" spans="2:7" x14ac:dyDescent="0.3">
      <c r="B28" s="94"/>
      <c r="C28" s="33">
        <v>19.52</v>
      </c>
      <c r="D28" s="7">
        <v>0</v>
      </c>
      <c r="E28" s="8" t="s">
        <v>41</v>
      </c>
      <c r="F28" s="11" t="s">
        <v>129</v>
      </c>
      <c r="G28" s="8" t="s">
        <v>38</v>
      </c>
    </row>
    <row r="29" spans="2:7" x14ac:dyDescent="0.3">
      <c r="B29" s="37" t="s">
        <v>151</v>
      </c>
      <c r="C29" s="18">
        <v>3.5000000000000001E-3</v>
      </c>
      <c r="D29" s="18">
        <v>732</v>
      </c>
      <c r="E29" s="8" t="s">
        <v>16</v>
      </c>
      <c r="F29" s="9" t="s">
        <v>136</v>
      </c>
      <c r="G29" s="8" t="s">
        <v>17</v>
      </c>
    </row>
    <row r="30" spans="2:7" x14ac:dyDescent="0.3">
      <c r="B30" s="37" t="s">
        <v>152</v>
      </c>
      <c r="C30" s="18">
        <v>0.1</v>
      </c>
      <c r="D30" s="18">
        <v>12200</v>
      </c>
      <c r="E30" s="8" t="s">
        <v>41</v>
      </c>
      <c r="F30" s="9" t="s">
        <v>153</v>
      </c>
      <c r="G30" s="8" t="s">
        <v>17</v>
      </c>
    </row>
    <row r="31" spans="2:7" x14ac:dyDescent="0.3">
      <c r="B31" s="37" t="s">
        <v>154</v>
      </c>
      <c r="C31" s="18">
        <v>4.8999999999999998E-3</v>
      </c>
      <c r="D31" s="18">
        <v>732</v>
      </c>
      <c r="E31" s="8" t="s">
        <v>16</v>
      </c>
      <c r="F31" s="9" t="s">
        <v>136</v>
      </c>
      <c r="G31" s="8" t="s">
        <v>17</v>
      </c>
    </row>
    <row r="32" spans="2:7" x14ac:dyDescent="0.3">
      <c r="B32" s="37" t="s">
        <v>155</v>
      </c>
      <c r="C32" s="18">
        <v>0.12</v>
      </c>
      <c r="D32" s="18">
        <v>12200</v>
      </c>
      <c r="E32" s="8" t="s">
        <v>41</v>
      </c>
      <c r="F32" s="9" t="s">
        <v>153</v>
      </c>
      <c r="G32" s="8" t="s">
        <v>17</v>
      </c>
    </row>
    <row r="33" spans="2:7" x14ac:dyDescent="0.3">
      <c r="B33" s="37" t="s">
        <v>4</v>
      </c>
      <c r="C33" s="18">
        <v>3.5000000000000003E-2</v>
      </c>
      <c r="D33" s="18">
        <v>200</v>
      </c>
      <c r="E33" s="8" t="s">
        <v>16</v>
      </c>
      <c r="F33" s="9"/>
      <c r="G33" s="8"/>
    </row>
    <row r="34" spans="2:7" x14ac:dyDescent="0.3">
      <c r="B34" s="87" t="s">
        <v>51</v>
      </c>
      <c r="C34" s="13">
        <v>100</v>
      </c>
      <c r="D34" s="13">
        <v>0</v>
      </c>
      <c r="E34" s="14" t="s">
        <v>16</v>
      </c>
      <c r="F34" s="15" t="s">
        <v>92</v>
      </c>
      <c r="G34" s="8"/>
    </row>
    <row r="35" spans="2:7" x14ac:dyDescent="0.3">
      <c r="B35" s="88"/>
      <c r="C35" s="13">
        <v>150</v>
      </c>
      <c r="D35" s="13">
        <v>0</v>
      </c>
      <c r="E35" s="14" t="s">
        <v>16</v>
      </c>
      <c r="F35" s="15" t="s">
        <v>93</v>
      </c>
      <c r="G35" s="8"/>
    </row>
    <row r="36" spans="2:7" x14ac:dyDescent="0.3">
      <c r="B36" s="89"/>
      <c r="C36" s="13">
        <v>200</v>
      </c>
      <c r="D36" s="13">
        <v>0</v>
      </c>
      <c r="E36" s="14" t="s">
        <v>16</v>
      </c>
      <c r="F36" s="15" t="s">
        <v>94</v>
      </c>
      <c r="G36" s="8"/>
    </row>
    <row r="37" spans="2:7" x14ac:dyDescent="0.3">
      <c r="B37" s="85" t="s">
        <v>25</v>
      </c>
      <c r="C37" s="18">
        <v>0.9</v>
      </c>
      <c r="D37" s="18">
        <v>864</v>
      </c>
      <c r="E37" s="8" t="s">
        <v>41</v>
      </c>
      <c r="F37" s="11" t="s">
        <v>137</v>
      </c>
      <c r="G37" s="8" t="s">
        <v>17</v>
      </c>
    </row>
    <row r="38" spans="2:7" x14ac:dyDescent="0.3">
      <c r="B38" s="86"/>
      <c r="C38" s="18">
        <v>0.9</v>
      </c>
      <c r="D38" s="18">
        <v>3456</v>
      </c>
      <c r="E38" s="8" t="s">
        <v>41</v>
      </c>
      <c r="F38" s="11" t="s">
        <v>138</v>
      </c>
      <c r="G38" s="8" t="s">
        <v>17</v>
      </c>
    </row>
    <row r="39" spans="2:7" ht="27.6" x14ac:dyDescent="0.3">
      <c r="B39" s="32" t="s">
        <v>27</v>
      </c>
      <c r="C39" s="18">
        <v>1600</v>
      </c>
      <c r="D39" s="18">
        <v>400</v>
      </c>
      <c r="E39" s="8" t="s">
        <v>16</v>
      </c>
      <c r="F39" s="11" t="s">
        <v>139</v>
      </c>
      <c r="G39" s="8" t="s">
        <v>17</v>
      </c>
    </row>
    <row r="40" spans="2:7" x14ac:dyDescent="0.3">
      <c r="B40" s="32" t="s">
        <v>29</v>
      </c>
      <c r="C40" s="18">
        <v>800</v>
      </c>
      <c r="D40" s="18">
        <v>0</v>
      </c>
      <c r="E40" s="8" t="s">
        <v>16</v>
      </c>
      <c r="F40" s="11" t="s">
        <v>30</v>
      </c>
      <c r="G40" s="8" t="s">
        <v>17</v>
      </c>
    </row>
    <row r="41" spans="2:7" x14ac:dyDescent="0.3">
      <c r="B41" s="19" t="s">
        <v>31</v>
      </c>
      <c r="C41" s="18">
        <v>50</v>
      </c>
      <c r="D41" s="18">
        <v>0</v>
      </c>
      <c r="E41" s="8" t="s">
        <v>16</v>
      </c>
      <c r="F41" s="9" t="s">
        <v>140</v>
      </c>
      <c r="G41" s="8" t="s">
        <v>17</v>
      </c>
    </row>
    <row r="42" spans="2:7" x14ac:dyDescent="0.3">
      <c r="B42" s="19" t="s">
        <v>33</v>
      </c>
      <c r="C42" s="18">
        <v>5</v>
      </c>
      <c r="D42" s="18">
        <v>0</v>
      </c>
      <c r="E42" s="8" t="s">
        <v>16</v>
      </c>
      <c r="F42" s="9" t="s">
        <v>34</v>
      </c>
      <c r="G42" s="8" t="s">
        <v>17</v>
      </c>
    </row>
    <row r="43" spans="2:7" x14ac:dyDescent="0.3">
      <c r="B43" s="19" t="s">
        <v>35</v>
      </c>
      <c r="C43" s="18" t="s">
        <v>36</v>
      </c>
      <c r="D43" s="18">
        <v>0</v>
      </c>
      <c r="E43" s="8" t="s">
        <v>37</v>
      </c>
      <c r="F43" s="11"/>
      <c r="G43" s="8" t="s">
        <v>17</v>
      </c>
    </row>
    <row r="44" spans="2:7" x14ac:dyDescent="0.3">
      <c r="B44" s="19" t="s">
        <v>39</v>
      </c>
      <c r="C44" s="18" t="s">
        <v>36</v>
      </c>
      <c r="D44" s="18">
        <v>0</v>
      </c>
      <c r="E44" s="8" t="s">
        <v>37</v>
      </c>
      <c r="F44" s="9"/>
      <c r="G44" s="8" t="s">
        <v>17</v>
      </c>
    </row>
    <row r="45" spans="2:7" x14ac:dyDescent="0.3">
      <c r="B45" s="19" t="s">
        <v>40</v>
      </c>
      <c r="C45" s="18">
        <v>25000</v>
      </c>
      <c r="D45" s="18">
        <v>0</v>
      </c>
      <c r="E45" s="8" t="s">
        <v>41</v>
      </c>
      <c r="F45" s="38" t="s">
        <v>141</v>
      </c>
      <c r="G45" s="8" t="s">
        <v>17</v>
      </c>
    </row>
    <row r="46" spans="2:7" x14ac:dyDescent="0.3">
      <c r="B46" s="19" t="s">
        <v>43</v>
      </c>
      <c r="C46" s="18">
        <v>150</v>
      </c>
      <c r="D46" s="18">
        <v>0</v>
      </c>
      <c r="E46" s="8" t="s">
        <v>16</v>
      </c>
      <c r="F46" s="9" t="s">
        <v>142</v>
      </c>
      <c r="G46" s="8" t="s">
        <v>17</v>
      </c>
    </row>
    <row r="47" spans="2:7" x14ac:dyDescent="0.3">
      <c r="B47" s="19" t="s">
        <v>45</v>
      </c>
      <c r="C47" s="18">
        <v>20</v>
      </c>
      <c r="D47" s="18">
        <v>0</v>
      </c>
      <c r="E47" s="8" t="s">
        <v>16</v>
      </c>
      <c r="F47" s="9" t="s">
        <v>46</v>
      </c>
      <c r="G47" s="8" t="s">
        <v>17</v>
      </c>
    </row>
    <row r="48" spans="2:7" x14ac:dyDescent="0.3">
      <c r="B48" s="19" t="s">
        <v>47</v>
      </c>
      <c r="C48" s="18">
        <v>150</v>
      </c>
      <c r="D48" s="18">
        <v>0</v>
      </c>
      <c r="E48" s="8" t="s">
        <v>16</v>
      </c>
      <c r="F48" s="9" t="s">
        <v>46</v>
      </c>
      <c r="G48" s="8" t="s">
        <v>17</v>
      </c>
    </row>
    <row r="49" spans="2:7" x14ac:dyDescent="0.3">
      <c r="B49" s="19" t="s">
        <v>48</v>
      </c>
      <c r="C49" s="18">
        <v>0</v>
      </c>
      <c r="D49" s="18">
        <v>0</v>
      </c>
      <c r="E49" s="8"/>
      <c r="F49" s="9"/>
      <c r="G49" s="8" t="s">
        <v>38</v>
      </c>
    </row>
  </sheetData>
  <mergeCells count="7">
    <mergeCell ref="B3:B4"/>
    <mergeCell ref="B5:B10"/>
    <mergeCell ref="B11:B16"/>
    <mergeCell ref="B37:B38"/>
    <mergeCell ref="B17:B22"/>
    <mergeCell ref="B23:B28"/>
    <mergeCell ref="B34:B36"/>
  </mergeCells>
  <conditionalFormatting sqref="G3:G29 G33 G37:G49">
    <cfRule type="containsText" dxfId="65" priority="16" operator="containsText" text="Verified">
      <formula>NOT(ISERROR(SEARCH("Verified",G3)))</formula>
    </cfRule>
    <cfRule type="containsText" dxfId="64" priority="17" operator="containsText" text="Verified">
      <formula>NOT(ISERROR(SEARCH("Verified",G3)))</formula>
    </cfRule>
    <cfRule type="containsText" dxfId="63" priority="18" operator="containsText" text="Verified">
      <formula>NOT(ISERROR(SEARCH("Verified",G3)))</formula>
    </cfRule>
  </conditionalFormatting>
  <conditionalFormatting sqref="G30">
    <cfRule type="containsText" dxfId="62" priority="10" operator="containsText" text="Verified">
      <formula>NOT(ISERROR(SEARCH("Verified",G30)))</formula>
    </cfRule>
    <cfRule type="containsText" dxfId="61" priority="11" operator="containsText" text="Verified">
      <formula>NOT(ISERROR(SEARCH("Verified",G30)))</formula>
    </cfRule>
    <cfRule type="containsText" dxfId="60" priority="12" operator="containsText" text="Verified">
      <formula>NOT(ISERROR(SEARCH("Verified",G30)))</formula>
    </cfRule>
  </conditionalFormatting>
  <conditionalFormatting sqref="G31">
    <cfRule type="containsText" dxfId="59" priority="7" operator="containsText" text="Verified">
      <formula>NOT(ISERROR(SEARCH("Verified",G31)))</formula>
    </cfRule>
    <cfRule type="containsText" dxfId="58" priority="8" operator="containsText" text="Verified">
      <formula>NOT(ISERROR(SEARCH("Verified",G31)))</formula>
    </cfRule>
    <cfRule type="containsText" dxfId="57" priority="9" operator="containsText" text="Verified">
      <formula>NOT(ISERROR(SEARCH("Verified",G31)))</formula>
    </cfRule>
  </conditionalFormatting>
  <conditionalFormatting sqref="G32">
    <cfRule type="containsText" dxfId="56" priority="4" operator="containsText" text="Verified">
      <formula>NOT(ISERROR(SEARCH("Verified",G32)))</formula>
    </cfRule>
    <cfRule type="containsText" dxfId="55" priority="5" operator="containsText" text="Verified">
      <formula>NOT(ISERROR(SEARCH("Verified",G32)))</formula>
    </cfRule>
    <cfRule type="containsText" dxfId="54" priority="6" operator="containsText" text="Verified">
      <formula>NOT(ISERROR(SEARCH("Verified",G32)))</formula>
    </cfRule>
  </conditionalFormatting>
  <conditionalFormatting sqref="G34:G36">
    <cfRule type="containsText" dxfId="53" priority="1" operator="containsText" text="Verified">
      <formula>NOT(ISERROR(SEARCH("Verified",G34)))</formula>
    </cfRule>
    <cfRule type="containsText" dxfId="52" priority="2" operator="containsText" text="Verified">
      <formula>NOT(ISERROR(SEARCH("Verified",G34)))</formula>
    </cfRule>
    <cfRule type="containsText" dxfId="51" priority="3" operator="containsText" text="Verified">
      <formula>NOT(ISERROR(SEARCH("Verified",G34)))</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2135F-3B83-4543-A414-8BE41E8D7570}">
  <sheetPr>
    <tabColor rgb="FFFFFF00"/>
  </sheetPr>
  <dimension ref="B1:O36"/>
  <sheetViews>
    <sheetView showGridLines="0" zoomScaleNormal="100" workbookViewId="0">
      <pane ySplit="1" topLeftCell="A2" activePane="bottomLeft" state="frozen"/>
      <selection activeCell="C10" sqref="C10:C12"/>
      <selection pane="bottomLeft" activeCell="C26" sqref="C2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10.5546875" style="4" customWidth="1"/>
    <col min="6" max="6" width="42" style="4" bestFit="1" customWidth="1"/>
    <col min="7" max="7" width="8.33203125" style="4" bestFit="1" customWidth="1"/>
    <col min="8" max="14" width="9.109375" style="4"/>
    <col min="15" max="15" width="14" style="4" bestFit="1" customWidth="1"/>
    <col min="16" max="16384" width="9.109375" style="4"/>
  </cols>
  <sheetData>
    <row r="1" spans="2:7" x14ac:dyDescent="0.3">
      <c r="B1" s="3" t="s">
        <v>52</v>
      </c>
    </row>
    <row r="2" spans="2:7" ht="18" x14ac:dyDescent="0.35">
      <c r="B2" s="95" t="s">
        <v>53</v>
      </c>
      <c r="C2" s="95"/>
      <c r="D2" s="95"/>
      <c r="E2" s="95"/>
      <c r="F2" s="95"/>
      <c r="G2" s="9"/>
    </row>
    <row r="3" spans="2:7" x14ac:dyDescent="0.3">
      <c r="B3" s="17" t="s">
        <v>1</v>
      </c>
      <c r="C3" s="17" t="s">
        <v>10</v>
      </c>
      <c r="D3" s="17" t="s">
        <v>11</v>
      </c>
      <c r="E3" s="5" t="s">
        <v>12</v>
      </c>
      <c r="F3" s="17" t="s">
        <v>13</v>
      </c>
      <c r="G3" s="17" t="s">
        <v>14</v>
      </c>
    </row>
    <row r="4" spans="2:7" x14ac:dyDescent="0.3">
      <c r="B4" s="9" t="s">
        <v>15</v>
      </c>
      <c r="C4" s="13">
        <v>0.34539999999999998</v>
      </c>
      <c r="D4" s="18"/>
      <c r="E4" s="18"/>
      <c r="F4" s="9"/>
      <c r="G4" s="8" t="s">
        <v>17</v>
      </c>
    </row>
    <row r="5" spans="2:7" x14ac:dyDescent="0.3">
      <c r="B5" s="9" t="s">
        <v>54</v>
      </c>
      <c r="C5" s="13">
        <v>0.59550000000000003</v>
      </c>
      <c r="D5" s="18"/>
      <c r="E5" s="18"/>
      <c r="F5" s="9"/>
      <c r="G5" s="8" t="s">
        <v>17</v>
      </c>
    </row>
    <row r="6" spans="2:7" x14ac:dyDescent="0.3">
      <c r="B6" s="9"/>
      <c r="C6" s="18"/>
      <c r="D6" s="18"/>
      <c r="E6" s="18"/>
      <c r="F6" s="9"/>
      <c r="G6" s="8"/>
    </row>
    <row r="7" spans="2:7" ht="18" x14ac:dyDescent="0.35">
      <c r="B7" s="95" t="s">
        <v>55</v>
      </c>
      <c r="C7" s="95"/>
      <c r="D7" s="95"/>
      <c r="E7" s="95"/>
      <c r="F7" s="95"/>
      <c r="G7" s="8"/>
    </row>
    <row r="8" spans="2:7" x14ac:dyDescent="0.3">
      <c r="B8" s="17" t="s">
        <v>1</v>
      </c>
      <c r="C8" s="17" t="s">
        <v>10</v>
      </c>
      <c r="D8" s="17" t="s">
        <v>11</v>
      </c>
      <c r="E8" s="5" t="s">
        <v>12</v>
      </c>
      <c r="F8" s="17" t="s">
        <v>13</v>
      </c>
      <c r="G8" s="17"/>
    </row>
    <row r="9" spans="2:7" x14ac:dyDescent="0.3">
      <c r="B9" s="19" t="s">
        <v>15</v>
      </c>
      <c r="C9" s="13">
        <v>5.2999999999999999E-2</v>
      </c>
      <c r="D9" s="13">
        <v>375</v>
      </c>
      <c r="E9" s="7" t="s">
        <v>16</v>
      </c>
      <c r="F9" s="9" t="s">
        <v>74</v>
      </c>
      <c r="G9" s="8" t="s">
        <v>17</v>
      </c>
    </row>
    <row r="10" spans="2:7" x14ac:dyDescent="0.3">
      <c r="B10" s="84" t="s">
        <v>56</v>
      </c>
      <c r="C10" s="96">
        <v>1.01</v>
      </c>
      <c r="D10" s="13">
        <v>3990</v>
      </c>
      <c r="E10" s="7" t="s">
        <v>16</v>
      </c>
      <c r="F10" s="9" t="s">
        <v>57</v>
      </c>
      <c r="G10" s="8" t="s">
        <v>17</v>
      </c>
    </row>
    <row r="11" spans="2:7" x14ac:dyDescent="0.3">
      <c r="B11" s="84"/>
      <c r="C11" s="96"/>
      <c r="D11" s="13">
        <v>7610</v>
      </c>
      <c r="E11" s="7" t="s">
        <v>16</v>
      </c>
      <c r="F11" s="9" t="s">
        <v>58</v>
      </c>
      <c r="G11" s="8" t="s">
        <v>17</v>
      </c>
    </row>
    <row r="12" spans="2:7" x14ac:dyDescent="0.3">
      <c r="B12" s="84"/>
      <c r="C12" s="96"/>
      <c r="D12" s="13">
        <v>16275</v>
      </c>
      <c r="E12" s="7" t="s">
        <v>16</v>
      </c>
      <c r="F12" s="9" t="s">
        <v>59</v>
      </c>
      <c r="G12" s="8" t="s">
        <v>17</v>
      </c>
    </row>
    <row r="13" spans="2:7" x14ac:dyDescent="0.3">
      <c r="B13" s="20" t="s">
        <v>60</v>
      </c>
      <c r="C13" s="28">
        <v>0.84</v>
      </c>
      <c r="D13" s="13">
        <v>7610</v>
      </c>
      <c r="E13" s="7" t="s">
        <v>16</v>
      </c>
      <c r="F13" s="21" t="s">
        <v>61</v>
      </c>
      <c r="G13" s="8" t="s">
        <v>17</v>
      </c>
    </row>
    <row r="14" spans="2:7" x14ac:dyDescent="0.3">
      <c r="B14" s="84" t="s">
        <v>62</v>
      </c>
      <c r="C14" s="96">
        <v>1.01</v>
      </c>
      <c r="D14" s="13">
        <v>7610</v>
      </c>
      <c r="E14" s="7" t="s">
        <v>16</v>
      </c>
      <c r="F14" s="9" t="s">
        <v>63</v>
      </c>
      <c r="G14" s="8" t="s">
        <v>17</v>
      </c>
    </row>
    <row r="15" spans="2:7" x14ac:dyDescent="0.3">
      <c r="B15" s="84"/>
      <c r="C15" s="96"/>
      <c r="D15" s="13">
        <v>16275</v>
      </c>
      <c r="E15" s="7" t="s">
        <v>16</v>
      </c>
      <c r="F15" s="9" t="s">
        <v>64</v>
      </c>
      <c r="G15" s="8" t="s">
        <v>17</v>
      </c>
    </row>
    <row r="16" spans="2:7" x14ac:dyDescent="0.3">
      <c r="B16" s="84"/>
      <c r="C16" s="28">
        <v>1.07</v>
      </c>
      <c r="D16" s="13">
        <v>0</v>
      </c>
      <c r="E16" s="7" t="s">
        <v>16</v>
      </c>
      <c r="F16" s="9" t="s">
        <v>65</v>
      </c>
      <c r="G16" s="8" t="s">
        <v>17</v>
      </c>
    </row>
    <row r="17" spans="2:15" x14ac:dyDescent="0.3">
      <c r="B17" s="22" t="s">
        <v>76</v>
      </c>
      <c r="C17" s="18">
        <f>0.068/8</f>
        <v>8.5000000000000006E-3</v>
      </c>
      <c r="D17" s="18">
        <v>438.6</v>
      </c>
      <c r="E17" s="7" t="s">
        <v>16</v>
      </c>
      <c r="F17" s="9" t="s">
        <v>66</v>
      </c>
      <c r="G17" s="8" t="s">
        <v>17</v>
      </c>
      <c r="O17" s="23"/>
    </row>
    <row r="18" spans="2:15" x14ac:dyDescent="0.3">
      <c r="B18" s="22" t="s">
        <v>77</v>
      </c>
      <c r="C18" s="18">
        <f>0.045/8</f>
        <v>5.6249999999999998E-3</v>
      </c>
      <c r="D18" s="18">
        <v>438.6</v>
      </c>
      <c r="E18" s="7" t="s">
        <v>16</v>
      </c>
      <c r="F18" s="9" t="s">
        <v>67</v>
      </c>
      <c r="G18" s="8" t="s">
        <v>17</v>
      </c>
    </row>
    <row r="19" spans="2:15" x14ac:dyDescent="0.3">
      <c r="B19" s="41" t="s">
        <v>4</v>
      </c>
      <c r="C19" s="18">
        <v>3.4720000000000001E-2</v>
      </c>
      <c r="D19" s="18">
        <v>200</v>
      </c>
      <c r="E19" s="7" t="s">
        <v>16</v>
      </c>
      <c r="F19" s="9"/>
      <c r="G19" s="8"/>
    </row>
    <row r="20" spans="2:15" x14ac:dyDescent="0.3">
      <c r="B20" s="87" t="s">
        <v>51</v>
      </c>
      <c r="C20" s="13">
        <v>100</v>
      </c>
      <c r="D20" s="13">
        <v>0</v>
      </c>
      <c r="E20" s="14" t="s">
        <v>16</v>
      </c>
      <c r="F20" s="15" t="s">
        <v>92</v>
      </c>
      <c r="G20" s="8"/>
    </row>
    <row r="21" spans="2:15" x14ac:dyDescent="0.3">
      <c r="B21" s="88"/>
      <c r="C21" s="13">
        <v>150</v>
      </c>
      <c r="D21" s="13">
        <v>0</v>
      </c>
      <c r="E21" s="14" t="s">
        <v>16</v>
      </c>
      <c r="F21" s="15" t="s">
        <v>93</v>
      </c>
      <c r="G21" s="8"/>
    </row>
    <row r="22" spans="2:15" x14ac:dyDescent="0.3">
      <c r="B22" s="89"/>
      <c r="C22" s="13">
        <v>200</v>
      </c>
      <c r="D22" s="13">
        <v>0</v>
      </c>
      <c r="E22" s="14" t="s">
        <v>16</v>
      </c>
      <c r="F22" s="15" t="s">
        <v>94</v>
      </c>
      <c r="G22" s="8"/>
    </row>
    <row r="23" spans="2:15" x14ac:dyDescent="0.3">
      <c r="B23" s="42" t="s">
        <v>166</v>
      </c>
      <c r="C23" s="13">
        <v>9.7337999999999994E-2</v>
      </c>
      <c r="D23" s="13"/>
      <c r="E23" s="14" t="s">
        <v>16</v>
      </c>
      <c r="F23" s="15"/>
      <c r="G23" s="8"/>
    </row>
    <row r="24" spans="2:15" x14ac:dyDescent="0.3">
      <c r="B24" s="24" t="s">
        <v>25</v>
      </c>
      <c r="C24" s="18">
        <v>9.3999999999999997E-4</v>
      </c>
      <c r="D24" s="18">
        <v>0</v>
      </c>
      <c r="E24" s="7" t="s">
        <v>16</v>
      </c>
      <c r="F24" s="11" t="s">
        <v>68</v>
      </c>
      <c r="G24" s="8" t="s">
        <v>17</v>
      </c>
    </row>
    <row r="25" spans="2:15" ht="27.6" x14ac:dyDescent="0.3">
      <c r="B25" s="24" t="s">
        <v>27</v>
      </c>
      <c r="C25" s="18">
        <v>1755</v>
      </c>
      <c r="D25" s="18">
        <v>440</v>
      </c>
      <c r="E25" s="7" t="s">
        <v>16</v>
      </c>
      <c r="F25" s="11" t="s">
        <v>28</v>
      </c>
      <c r="G25" s="8" t="s">
        <v>17</v>
      </c>
    </row>
    <row r="26" spans="2:15" x14ac:dyDescent="0.3">
      <c r="B26" s="24" t="s">
        <v>29</v>
      </c>
      <c r="C26" s="18">
        <v>800</v>
      </c>
      <c r="D26" s="18">
        <v>0</v>
      </c>
      <c r="E26" s="7" t="s">
        <v>16</v>
      </c>
      <c r="F26" s="11" t="s">
        <v>69</v>
      </c>
      <c r="G26" s="8" t="s">
        <v>17</v>
      </c>
    </row>
    <row r="27" spans="2:15" x14ac:dyDescent="0.3">
      <c r="B27" s="19" t="s">
        <v>31</v>
      </c>
      <c r="C27" s="18">
        <v>100</v>
      </c>
      <c r="D27" s="18">
        <v>0</v>
      </c>
      <c r="E27" s="7" t="s">
        <v>16</v>
      </c>
      <c r="F27" s="9" t="s">
        <v>70</v>
      </c>
      <c r="G27" s="8" t="s">
        <v>17</v>
      </c>
    </row>
    <row r="28" spans="2:15" x14ac:dyDescent="0.3">
      <c r="B28" s="19" t="s">
        <v>33</v>
      </c>
      <c r="C28" s="18">
        <v>5</v>
      </c>
      <c r="D28" s="18">
        <v>0</v>
      </c>
      <c r="E28" s="7" t="s">
        <v>16</v>
      </c>
      <c r="F28" s="9" t="s">
        <v>34</v>
      </c>
      <c r="G28" s="8" t="s">
        <v>17</v>
      </c>
    </row>
    <row r="29" spans="2:15" x14ac:dyDescent="0.3">
      <c r="B29" s="19" t="s">
        <v>35</v>
      </c>
      <c r="C29" s="18" t="s">
        <v>36</v>
      </c>
      <c r="D29" s="18">
        <v>0</v>
      </c>
      <c r="E29" s="7" t="s">
        <v>37</v>
      </c>
      <c r="F29" s="9"/>
      <c r="G29" s="8" t="s">
        <v>17</v>
      </c>
    </row>
    <row r="30" spans="2:15" x14ac:dyDescent="0.3">
      <c r="B30" s="19" t="s">
        <v>39</v>
      </c>
      <c r="C30" s="18" t="s">
        <v>36</v>
      </c>
      <c r="D30" s="18">
        <v>0</v>
      </c>
      <c r="E30" s="7" t="s">
        <v>37</v>
      </c>
      <c r="F30" s="9"/>
      <c r="G30" s="8" t="s">
        <v>17</v>
      </c>
    </row>
    <row r="31" spans="2:15" x14ac:dyDescent="0.3">
      <c r="B31" s="19" t="s">
        <v>40</v>
      </c>
      <c r="C31" s="18">
        <v>15000</v>
      </c>
      <c r="D31" s="18">
        <v>0</v>
      </c>
      <c r="E31" s="25" t="s">
        <v>41</v>
      </c>
      <c r="F31" s="26" t="s">
        <v>71</v>
      </c>
      <c r="G31" s="8" t="s">
        <v>17</v>
      </c>
    </row>
    <row r="32" spans="2:15" x14ac:dyDescent="0.3">
      <c r="B32" s="19" t="s">
        <v>43</v>
      </c>
      <c r="C32" s="18">
        <v>150</v>
      </c>
      <c r="D32" s="18">
        <v>0</v>
      </c>
      <c r="E32" s="7" t="s">
        <v>16</v>
      </c>
      <c r="F32" s="9" t="s">
        <v>72</v>
      </c>
      <c r="G32" s="8" t="s">
        <v>17</v>
      </c>
    </row>
    <row r="33" spans="2:7" x14ac:dyDescent="0.3">
      <c r="B33" s="19" t="s">
        <v>45</v>
      </c>
      <c r="C33" s="18">
        <v>50</v>
      </c>
      <c r="D33" s="18">
        <v>0</v>
      </c>
      <c r="E33" s="7" t="s">
        <v>16</v>
      </c>
      <c r="F33" s="9" t="s">
        <v>46</v>
      </c>
      <c r="G33" s="8" t="s">
        <v>17</v>
      </c>
    </row>
    <row r="34" spans="2:7" x14ac:dyDescent="0.3">
      <c r="B34" s="19" t="s">
        <v>47</v>
      </c>
      <c r="C34" s="18">
        <v>150</v>
      </c>
      <c r="D34" s="18">
        <v>0</v>
      </c>
      <c r="E34" s="7" t="s">
        <v>16</v>
      </c>
      <c r="F34" s="9" t="s">
        <v>46</v>
      </c>
      <c r="G34" s="8" t="s">
        <v>17</v>
      </c>
    </row>
    <row r="35" spans="2:7" x14ac:dyDescent="0.3">
      <c r="B35" s="19" t="s">
        <v>48</v>
      </c>
      <c r="C35" s="18">
        <v>2.5</v>
      </c>
      <c r="D35" s="18">
        <v>0</v>
      </c>
      <c r="E35" s="25" t="s">
        <v>41</v>
      </c>
      <c r="F35" s="9" t="s">
        <v>73</v>
      </c>
      <c r="G35" s="8" t="s">
        <v>17</v>
      </c>
    </row>
    <row r="36" spans="2:7" x14ac:dyDescent="0.3">
      <c r="B36" s="27"/>
    </row>
  </sheetData>
  <mergeCells count="7">
    <mergeCell ref="B20:B22"/>
    <mergeCell ref="B2:F2"/>
    <mergeCell ref="B7:F7"/>
    <mergeCell ref="B10:B12"/>
    <mergeCell ref="C10:C12"/>
    <mergeCell ref="B14:B16"/>
    <mergeCell ref="C14:C15"/>
  </mergeCells>
  <conditionalFormatting sqref="G4:G7 G9:G19 G24">
    <cfRule type="containsText" dxfId="50" priority="7" operator="containsText" text="Verified">
      <formula>NOT(ISERROR(SEARCH("Verified",G4)))</formula>
    </cfRule>
    <cfRule type="containsText" dxfId="49" priority="8" operator="containsText" text="Verified">
      <formula>NOT(ISERROR(SEARCH("Verified",G4)))</formula>
    </cfRule>
    <cfRule type="containsText" dxfId="48" priority="9" operator="containsText" text="Verified">
      <formula>NOT(ISERROR(SEARCH("Verified",G4)))</formula>
    </cfRule>
  </conditionalFormatting>
  <conditionalFormatting sqref="G25:G35">
    <cfRule type="containsText" dxfId="47" priority="4" operator="containsText" text="Verified">
      <formula>NOT(ISERROR(SEARCH("Verified",G25)))</formula>
    </cfRule>
    <cfRule type="containsText" dxfId="46" priority="5" operator="containsText" text="Verified">
      <formula>NOT(ISERROR(SEARCH("Verified",G25)))</formula>
    </cfRule>
    <cfRule type="containsText" dxfId="45" priority="6" operator="containsText" text="Verified">
      <formula>NOT(ISERROR(SEARCH("Verified",G25)))</formula>
    </cfRule>
  </conditionalFormatting>
  <conditionalFormatting sqref="G20:G23">
    <cfRule type="containsText" dxfId="44" priority="1" operator="containsText" text="Verified">
      <formula>NOT(ISERROR(SEARCH("Verified",G20)))</formula>
    </cfRule>
    <cfRule type="containsText" dxfId="43" priority="2" operator="containsText" text="Verified">
      <formula>NOT(ISERROR(SEARCH("Verified",G20)))</formula>
    </cfRule>
    <cfRule type="containsText" dxfId="42" priority="3" operator="containsText" text="Verified">
      <formula>NOT(ISERROR(SEARCH("Verified",G20)))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F0AC9-5869-4FA0-AB46-2063E2AE8C81}">
  <sheetPr>
    <tabColor rgb="FFFFFF00"/>
  </sheetPr>
  <dimension ref="B1:I45"/>
  <sheetViews>
    <sheetView showGridLines="0" zoomScaleNormal="100" workbookViewId="0">
      <pane ySplit="1" topLeftCell="A17" activePane="bottomLeft" state="frozen"/>
      <selection activeCell="C10" sqref="C10:C12"/>
      <selection pane="bottomLeft" activeCell="C30" sqref="C30"/>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16384" width="9.109375" style="4"/>
  </cols>
  <sheetData>
    <row r="1" spans="2:9" x14ac:dyDescent="0.3">
      <c r="B1" s="3" t="s">
        <v>118</v>
      </c>
    </row>
    <row r="2" spans="2:9" x14ac:dyDescent="0.3">
      <c r="B2" s="17" t="s">
        <v>1</v>
      </c>
      <c r="C2" s="17" t="s">
        <v>10</v>
      </c>
      <c r="D2" s="17" t="s">
        <v>11</v>
      </c>
      <c r="E2" s="17" t="s">
        <v>12</v>
      </c>
      <c r="F2" s="17" t="s">
        <v>13</v>
      </c>
      <c r="G2" s="17" t="s">
        <v>14</v>
      </c>
    </row>
    <row r="3" spans="2:9" ht="27.6" x14ac:dyDescent="0.3">
      <c r="B3" s="37" t="s">
        <v>169</v>
      </c>
      <c r="C3" s="7">
        <v>2.2179999999999998E-2</v>
      </c>
      <c r="D3" s="7">
        <v>0</v>
      </c>
      <c r="E3" s="8" t="s">
        <v>16</v>
      </c>
      <c r="F3" s="9" t="s">
        <v>167</v>
      </c>
      <c r="G3" s="8" t="s">
        <v>17</v>
      </c>
    </row>
    <row r="4" spans="2:9" ht="27.6" x14ac:dyDescent="0.3">
      <c r="B4" s="37" t="s">
        <v>168</v>
      </c>
      <c r="C4" s="7">
        <v>5.4179999999999999E-2</v>
      </c>
      <c r="D4" s="7">
        <v>0</v>
      </c>
      <c r="E4" s="8" t="s">
        <v>16</v>
      </c>
      <c r="F4" s="9" t="s">
        <v>167</v>
      </c>
      <c r="G4" s="8" t="s">
        <v>38</v>
      </c>
    </row>
    <row r="5" spans="2:9" ht="27.6" x14ac:dyDescent="0.3">
      <c r="B5" s="37" t="s">
        <v>170</v>
      </c>
      <c r="C5" s="7">
        <v>4.3344000000000001E-2</v>
      </c>
      <c r="D5" s="7">
        <v>0</v>
      </c>
      <c r="E5" s="8" t="s">
        <v>16</v>
      </c>
      <c r="F5" s="9" t="s">
        <v>167</v>
      </c>
      <c r="G5" s="8"/>
    </row>
    <row r="6" spans="2:9" x14ac:dyDescent="0.3">
      <c r="B6" s="94" t="s">
        <v>174</v>
      </c>
      <c r="C6" s="33">
        <v>0.61592000000000002</v>
      </c>
      <c r="D6" s="7">
        <v>0</v>
      </c>
      <c r="E6" s="8" t="s">
        <v>16</v>
      </c>
      <c r="F6" s="9" t="s">
        <v>121</v>
      </c>
      <c r="G6" s="8" t="s">
        <v>17</v>
      </c>
    </row>
    <row r="7" spans="2:9" x14ac:dyDescent="0.3">
      <c r="B7" s="94"/>
      <c r="C7" s="33">
        <v>0.48692000000000002</v>
      </c>
      <c r="D7" s="7">
        <v>0</v>
      </c>
      <c r="E7" s="8" t="s">
        <v>16</v>
      </c>
      <c r="F7" s="11" t="s">
        <v>122</v>
      </c>
      <c r="G7" s="8" t="s">
        <v>17</v>
      </c>
      <c r="I7" s="4" t="s">
        <v>123</v>
      </c>
    </row>
    <row r="8" spans="2:9" x14ac:dyDescent="0.3">
      <c r="B8" s="94"/>
      <c r="C8" s="33">
        <v>0.53091999999999995</v>
      </c>
      <c r="D8" s="7">
        <v>0</v>
      </c>
      <c r="E8" s="8" t="s">
        <v>16</v>
      </c>
      <c r="F8" s="11" t="s">
        <v>143</v>
      </c>
      <c r="G8" s="8" t="s">
        <v>17</v>
      </c>
      <c r="I8" s="4" t="s">
        <v>125</v>
      </c>
    </row>
    <row r="9" spans="2:9" x14ac:dyDescent="0.3">
      <c r="B9" s="94"/>
      <c r="C9" s="33">
        <v>0.58191999999999999</v>
      </c>
      <c r="D9" s="7">
        <v>0</v>
      </c>
      <c r="E9" s="8" t="s">
        <v>16</v>
      </c>
      <c r="F9" s="9" t="s">
        <v>171</v>
      </c>
      <c r="G9" s="8" t="s">
        <v>17</v>
      </c>
      <c r="I9" s="4" t="s">
        <v>127</v>
      </c>
    </row>
    <row r="10" spans="2:9" x14ac:dyDescent="0.3">
      <c r="B10" s="94"/>
      <c r="C10" s="33">
        <v>0.74292000000000002</v>
      </c>
      <c r="D10" s="7">
        <v>0</v>
      </c>
      <c r="E10" s="8" t="s">
        <v>16</v>
      </c>
      <c r="F10" s="9" t="s">
        <v>172</v>
      </c>
      <c r="G10" s="8" t="s">
        <v>17</v>
      </c>
    </row>
    <row r="11" spans="2:9" x14ac:dyDescent="0.3">
      <c r="B11" s="94"/>
      <c r="C11" s="33">
        <v>0.82891999999999999</v>
      </c>
      <c r="D11" s="7">
        <v>0</v>
      </c>
      <c r="E11" s="8" t="s">
        <v>16</v>
      </c>
      <c r="F11" s="11" t="s">
        <v>173</v>
      </c>
      <c r="G11" s="8" t="s">
        <v>17</v>
      </c>
    </row>
    <row r="12" spans="2:9" x14ac:dyDescent="0.3">
      <c r="B12" s="94" t="s">
        <v>175</v>
      </c>
      <c r="C12" s="33">
        <v>0.96582000000000001</v>
      </c>
      <c r="D12" s="7">
        <v>0</v>
      </c>
      <c r="E12" s="8" t="s">
        <v>16</v>
      </c>
      <c r="F12" s="9" t="s">
        <v>176</v>
      </c>
      <c r="G12" s="8" t="s">
        <v>38</v>
      </c>
    </row>
    <row r="13" spans="2:9" x14ac:dyDescent="0.3">
      <c r="B13" s="94"/>
      <c r="C13" s="33">
        <v>1.1358200000000001</v>
      </c>
      <c r="D13" s="7">
        <v>0</v>
      </c>
      <c r="E13" s="8" t="s">
        <v>16</v>
      </c>
      <c r="F13" s="11" t="s">
        <v>177</v>
      </c>
      <c r="G13" s="8" t="s">
        <v>38</v>
      </c>
    </row>
    <row r="14" spans="2:9" x14ac:dyDescent="0.3">
      <c r="B14" s="94"/>
      <c r="C14" s="33">
        <v>1.2158199999999999</v>
      </c>
      <c r="D14" s="7">
        <v>0</v>
      </c>
      <c r="E14" s="8" t="s">
        <v>16</v>
      </c>
      <c r="F14" s="11" t="s">
        <v>178</v>
      </c>
      <c r="G14" s="8" t="s">
        <v>38</v>
      </c>
      <c r="I14" s="4" t="s">
        <v>132</v>
      </c>
    </row>
    <row r="15" spans="2:9" x14ac:dyDescent="0.3">
      <c r="B15" s="94"/>
      <c r="C15" s="33">
        <v>1.2358199999999999</v>
      </c>
      <c r="D15" s="7">
        <v>0</v>
      </c>
      <c r="E15" s="8" t="s">
        <v>16</v>
      </c>
      <c r="F15" s="9" t="s">
        <v>179</v>
      </c>
      <c r="G15" s="8" t="s">
        <v>38</v>
      </c>
      <c r="I15" s="4" t="s">
        <v>134</v>
      </c>
    </row>
    <row r="16" spans="2:9" x14ac:dyDescent="0.3">
      <c r="B16" s="94"/>
      <c r="C16" s="33">
        <v>1.29582</v>
      </c>
      <c r="D16" s="7">
        <v>0</v>
      </c>
      <c r="E16" s="8" t="s">
        <v>16</v>
      </c>
      <c r="F16" s="9" t="s">
        <v>180</v>
      </c>
      <c r="G16" s="8" t="s">
        <v>38</v>
      </c>
    </row>
    <row r="17" spans="2:8" x14ac:dyDescent="0.3">
      <c r="B17" s="94"/>
      <c r="C17" s="33"/>
      <c r="D17" s="7"/>
      <c r="E17" s="8"/>
      <c r="F17" s="11"/>
      <c r="G17" s="8" t="s">
        <v>38</v>
      </c>
    </row>
    <row r="18" spans="2:8" ht="13.5" customHeight="1" x14ac:dyDescent="0.3">
      <c r="B18" s="94" t="s">
        <v>181</v>
      </c>
      <c r="C18" s="33">
        <v>0.766656</v>
      </c>
      <c r="D18" s="7">
        <v>0</v>
      </c>
      <c r="E18" s="8" t="s">
        <v>16</v>
      </c>
      <c r="F18" s="9" t="s">
        <v>176</v>
      </c>
      <c r="G18" s="8" t="s">
        <v>17</v>
      </c>
    </row>
    <row r="19" spans="2:8" x14ac:dyDescent="0.3">
      <c r="B19" s="94"/>
      <c r="C19" s="33">
        <v>1.036656</v>
      </c>
      <c r="D19" s="7">
        <v>0</v>
      </c>
      <c r="E19" s="8" t="s">
        <v>16</v>
      </c>
      <c r="F19" s="11" t="s">
        <v>177</v>
      </c>
      <c r="G19" s="8" t="s">
        <v>17</v>
      </c>
    </row>
    <row r="20" spans="2:8" x14ac:dyDescent="0.3">
      <c r="B20" s="94"/>
      <c r="C20" s="33">
        <v>1.0866560000000001</v>
      </c>
      <c r="D20" s="7">
        <v>0</v>
      </c>
      <c r="E20" s="8" t="s">
        <v>16</v>
      </c>
      <c r="F20" s="11" t="s">
        <v>178</v>
      </c>
      <c r="G20" s="8" t="s">
        <v>17</v>
      </c>
    </row>
    <row r="21" spans="2:8" x14ac:dyDescent="0.3">
      <c r="B21" s="94"/>
      <c r="C21" s="33">
        <v>1.1366560000000001</v>
      </c>
      <c r="D21" s="7">
        <v>0</v>
      </c>
      <c r="E21" s="8" t="s">
        <v>16</v>
      </c>
      <c r="F21" s="9" t="s">
        <v>179</v>
      </c>
      <c r="G21" s="8" t="s">
        <v>17</v>
      </c>
    </row>
    <row r="22" spans="2:8" x14ac:dyDescent="0.3">
      <c r="B22" s="94"/>
      <c r="C22" s="33">
        <v>1.1966559999999999</v>
      </c>
      <c r="D22" s="7">
        <v>0</v>
      </c>
      <c r="E22" s="8" t="s">
        <v>16</v>
      </c>
      <c r="F22" s="9" t="s">
        <v>180</v>
      </c>
      <c r="G22" s="8" t="s">
        <v>17</v>
      </c>
    </row>
    <row r="23" spans="2:8" x14ac:dyDescent="0.3">
      <c r="B23" s="94"/>
      <c r="C23" s="33"/>
      <c r="D23" s="7"/>
      <c r="E23" s="8"/>
      <c r="F23" s="11"/>
      <c r="G23" s="8" t="s">
        <v>17</v>
      </c>
    </row>
    <row r="24" spans="2:8" x14ac:dyDescent="0.3">
      <c r="B24" s="37" t="s">
        <v>188</v>
      </c>
      <c r="C24" s="18">
        <v>3.1099999999999999E-3</v>
      </c>
      <c r="D24" s="18">
        <v>325</v>
      </c>
      <c r="E24" s="8" t="s">
        <v>16</v>
      </c>
      <c r="F24" s="9"/>
      <c r="G24" s="8" t="s">
        <v>17</v>
      </c>
    </row>
    <row r="25" spans="2:8" x14ac:dyDescent="0.3">
      <c r="B25" s="37" t="s">
        <v>189</v>
      </c>
      <c r="C25" s="18">
        <v>7.0000000000000001E-3</v>
      </c>
      <c r="D25" s="18">
        <v>325</v>
      </c>
      <c r="E25" s="8" t="s">
        <v>16</v>
      </c>
      <c r="F25" s="9"/>
      <c r="G25" s="8" t="s">
        <v>17</v>
      </c>
    </row>
    <row r="26" spans="2:8" x14ac:dyDescent="0.3">
      <c r="B26" s="37" t="s">
        <v>4</v>
      </c>
      <c r="C26" s="18">
        <v>3.4720000000000001E-2</v>
      </c>
      <c r="D26" s="18">
        <v>0</v>
      </c>
      <c r="E26" s="8" t="s">
        <v>182</v>
      </c>
      <c r="F26" s="9" t="s">
        <v>183</v>
      </c>
      <c r="G26" s="8"/>
    </row>
    <row r="27" spans="2:8" x14ac:dyDescent="0.3">
      <c r="B27" s="87" t="s">
        <v>51</v>
      </c>
      <c r="C27" s="13">
        <v>6.6670000000000002E-3</v>
      </c>
      <c r="D27" s="13">
        <v>0</v>
      </c>
      <c r="E27" s="14" t="s">
        <v>182</v>
      </c>
      <c r="F27" s="15" t="s">
        <v>184</v>
      </c>
      <c r="G27" s="8"/>
    </row>
    <row r="28" spans="2:8" x14ac:dyDescent="0.3">
      <c r="B28" s="88"/>
      <c r="C28" s="13">
        <v>9.7337999999999994E-2</v>
      </c>
      <c r="D28" s="13">
        <v>0</v>
      </c>
      <c r="E28" s="14" t="s">
        <v>182</v>
      </c>
      <c r="F28" s="15" t="s">
        <v>185</v>
      </c>
      <c r="G28" s="8"/>
    </row>
    <row r="29" spans="2:8" x14ac:dyDescent="0.3">
      <c r="B29" s="89"/>
      <c r="C29" s="13">
        <v>6.6670000000000002E-3</v>
      </c>
      <c r="D29" s="13">
        <v>0</v>
      </c>
      <c r="E29" s="14" t="s">
        <v>186</v>
      </c>
      <c r="F29" s="15" t="s">
        <v>187</v>
      </c>
      <c r="G29" s="8"/>
    </row>
    <row r="30" spans="2:8" x14ac:dyDescent="0.3">
      <c r="B30" s="87" t="s">
        <v>51</v>
      </c>
      <c r="C30" s="13">
        <v>100</v>
      </c>
      <c r="D30" s="13">
        <v>0</v>
      </c>
      <c r="E30" s="14" t="s">
        <v>16</v>
      </c>
      <c r="F30" s="15" t="s">
        <v>92</v>
      </c>
      <c r="G30" s="8"/>
      <c r="H30" s="4" t="s">
        <v>355</v>
      </c>
    </row>
    <row r="31" spans="2:8" x14ac:dyDescent="0.3">
      <c r="B31" s="88"/>
      <c r="C31" s="13">
        <v>150</v>
      </c>
      <c r="D31" s="13">
        <v>0</v>
      </c>
      <c r="E31" s="14" t="s">
        <v>16</v>
      </c>
      <c r="F31" s="15" t="s">
        <v>93</v>
      </c>
      <c r="G31" s="8"/>
      <c r="H31" s="4" t="s">
        <v>355</v>
      </c>
    </row>
    <row r="32" spans="2:8" x14ac:dyDescent="0.3">
      <c r="B32" s="89"/>
      <c r="C32" s="13">
        <v>200</v>
      </c>
      <c r="D32" s="13">
        <v>0</v>
      </c>
      <c r="E32" s="14" t="s">
        <v>16</v>
      </c>
      <c r="F32" s="15" t="s">
        <v>94</v>
      </c>
      <c r="G32" s="8"/>
      <c r="H32" s="4" t="s">
        <v>355</v>
      </c>
    </row>
    <row r="33" spans="2:7" x14ac:dyDescent="0.3">
      <c r="B33" s="85" t="s">
        <v>25</v>
      </c>
      <c r="C33" s="18"/>
      <c r="D33" s="18"/>
      <c r="E33" s="8"/>
      <c r="F33" s="11"/>
      <c r="G33" s="8" t="s">
        <v>17</v>
      </c>
    </row>
    <row r="34" spans="2:7" x14ac:dyDescent="0.3">
      <c r="B34" s="86"/>
      <c r="C34" s="18"/>
      <c r="D34" s="18"/>
      <c r="E34" s="8"/>
      <c r="F34" s="11"/>
      <c r="G34" s="8" t="s">
        <v>17</v>
      </c>
    </row>
    <row r="35" spans="2:7" x14ac:dyDescent="0.3">
      <c r="B35" s="39" t="s">
        <v>27</v>
      </c>
      <c r="C35" s="18"/>
      <c r="D35" s="18"/>
      <c r="E35" s="8"/>
      <c r="F35" s="11"/>
      <c r="G35" s="8" t="s">
        <v>17</v>
      </c>
    </row>
    <row r="36" spans="2:7" x14ac:dyDescent="0.3">
      <c r="B36" s="39" t="s">
        <v>29</v>
      </c>
      <c r="C36" s="18"/>
      <c r="D36" s="18"/>
      <c r="E36" s="8"/>
      <c r="F36" s="11"/>
      <c r="G36" s="8" t="s">
        <v>17</v>
      </c>
    </row>
    <row r="37" spans="2:7" x14ac:dyDescent="0.3">
      <c r="B37" s="19" t="s">
        <v>31</v>
      </c>
      <c r="C37" s="18"/>
      <c r="D37" s="18"/>
      <c r="E37" s="8"/>
      <c r="F37" s="9"/>
      <c r="G37" s="8" t="s">
        <v>17</v>
      </c>
    </row>
    <row r="38" spans="2:7" x14ac:dyDescent="0.3">
      <c r="B38" s="19" t="s">
        <v>33</v>
      </c>
      <c r="C38" s="18"/>
      <c r="D38" s="18"/>
      <c r="E38" s="8"/>
      <c r="F38" s="9"/>
      <c r="G38" s="8" t="s">
        <v>17</v>
      </c>
    </row>
    <row r="39" spans="2:7" x14ac:dyDescent="0.3">
      <c r="B39" s="19" t="s">
        <v>35</v>
      </c>
      <c r="C39" s="18"/>
      <c r="D39" s="18"/>
      <c r="E39" s="8"/>
      <c r="F39" s="11"/>
      <c r="G39" s="8" t="s">
        <v>17</v>
      </c>
    </row>
    <row r="40" spans="2:7" x14ac:dyDescent="0.3">
      <c r="B40" s="19" t="s">
        <v>39</v>
      </c>
      <c r="C40" s="18"/>
      <c r="D40" s="18"/>
      <c r="E40" s="8"/>
      <c r="F40" s="9"/>
      <c r="G40" s="8" t="s">
        <v>17</v>
      </c>
    </row>
    <row r="41" spans="2:7" x14ac:dyDescent="0.3">
      <c r="B41" s="19" t="s">
        <v>40</v>
      </c>
      <c r="C41" s="18"/>
      <c r="D41" s="18"/>
      <c r="E41" s="8"/>
      <c r="F41" s="38"/>
      <c r="G41" s="8" t="s">
        <v>17</v>
      </c>
    </row>
    <row r="42" spans="2:7" x14ac:dyDescent="0.3">
      <c r="B42" s="19" t="s">
        <v>43</v>
      </c>
      <c r="C42" s="18"/>
      <c r="D42" s="18"/>
      <c r="E42" s="8"/>
      <c r="F42" s="9"/>
      <c r="G42" s="8" t="s">
        <v>17</v>
      </c>
    </row>
    <row r="43" spans="2:7" x14ac:dyDescent="0.3">
      <c r="B43" s="19" t="s">
        <v>45</v>
      </c>
      <c r="C43" s="18"/>
      <c r="D43" s="18"/>
      <c r="E43" s="8"/>
      <c r="F43" s="9"/>
      <c r="G43" s="8" t="s">
        <v>17</v>
      </c>
    </row>
    <row r="44" spans="2:7" x14ac:dyDescent="0.3">
      <c r="B44" s="19" t="s">
        <v>47</v>
      </c>
      <c r="C44" s="18"/>
      <c r="D44" s="18"/>
      <c r="E44" s="8"/>
      <c r="F44" s="9"/>
      <c r="G44" s="8" t="s">
        <v>17</v>
      </c>
    </row>
    <row r="45" spans="2:7" x14ac:dyDescent="0.3">
      <c r="B45" s="19" t="s">
        <v>48</v>
      </c>
      <c r="C45" s="18"/>
      <c r="D45" s="18"/>
      <c r="E45" s="8"/>
      <c r="F45" s="9"/>
      <c r="G45" s="8" t="s">
        <v>38</v>
      </c>
    </row>
  </sheetData>
  <mergeCells count="6">
    <mergeCell ref="B33:B34"/>
    <mergeCell ref="B6:B11"/>
    <mergeCell ref="B12:B17"/>
    <mergeCell ref="B18:B23"/>
    <mergeCell ref="B27:B29"/>
    <mergeCell ref="B30:B32"/>
  </mergeCells>
  <conditionalFormatting sqref="G26 G33:G45 G3:G24">
    <cfRule type="containsText" dxfId="41" priority="16" operator="containsText" text="Verified">
      <formula>NOT(ISERROR(SEARCH("Verified",G3)))</formula>
    </cfRule>
    <cfRule type="containsText" dxfId="40" priority="17" operator="containsText" text="Verified">
      <formula>NOT(ISERROR(SEARCH("Verified",G3)))</formula>
    </cfRule>
    <cfRule type="containsText" dxfId="39" priority="18" operator="containsText" text="Verified">
      <formula>NOT(ISERROR(SEARCH("Verified",G3)))</formula>
    </cfRule>
  </conditionalFormatting>
  <conditionalFormatting sqref="G25">
    <cfRule type="containsText" dxfId="38" priority="13" operator="containsText" text="Verified">
      <formula>NOT(ISERROR(SEARCH("Verified",G25)))</formula>
    </cfRule>
    <cfRule type="containsText" dxfId="37" priority="14" operator="containsText" text="Verified">
      <formula>NOT(ISERROR(SEARCH("Verified",G25)))</formula>
    </cfRule>
    <cfRule type="containsText" dxfId="36" priority="15" operator="containsText" text="Verified">
      <formula>NOT(ISERROR(SEARCH("Verified",G25)))</formula>
    </cfRule>
  </conditionalFormatting>
  <conditionalFormatting sqref="G27:G29">
    <cfRule type="containsText" dxfId="35" priority="4" operator="containsText" text="Verified">
      <formula>NOT(ISERROR(SEARCH("Verified",G27)))</formula>
    </cfRule>
    <cfRule type="containsText" dxfId="34" priority="5" operator="containsText" text="Verified">
      <formula>NOT(ISERROR(SEARCH("Verified",G27)))</formula>
    </cfRule>
    <cfRule type="containsText" dxfId="33" priority="6" operator="containsText" text="Verified">
      <formula>NOT(ISERROR(SEARCH("Verified",G27)))</formula>
    </cfRule>
  </conditionalFormatting>
  <conditionalFormatting sqref="G30:G32">
    <cfRule type="containsText" dxfId="32" priority="1" operator="containsText" text="Verified">
      <formula>NOT(ISERROR(SEARCH("Verified",G30)))</formula>
    </cfRule>
    <cfRule type="containsText" dxfId="31" priority="2" operator="containsText" text="Verified">
      <formula>NOT(ISERROR(SEARCH("Verified",G30)))</formula>
    </cfRule>
    <cfRule type="containsText" dxfId="30" priority="3" operator="containsText" text="Verified">
      <formula>NOT(ISERROR(SEARCH("Verified",G30)))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6E279-BD71-417A-A6BA-1F910117A2C3}">
  <sheetPr>
    <tabColor rgb="FFFFFF00"/>
  </sheetPr>
  <dimension ref="B1:G38"/>
  <sheetViews>
    <sheetView showGridLines="0" zoomScaleNormal="100" workbookViewId="0">
      <pane ySplit="1" topLeftCell="A2" activePane="bottomLeft" state="frozen"/>
      <selection activeCell="C9" sqref="C9:F11"/>
      <selection pane="bottomLeft" activeCell="C7" sqref="C7:F12"/>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16384" width="9.109375" style="4"/>
  </cols>
  <sheetData>
    <row r="1" spans="2:7" x14ac:dyDescent="0.3">
      <c r="B1" s="3" t="s">
        <v>118</v>
      </c>
    </row>
    <row r="2" spans="2:7" x14ac:dyDescent="0.3">
      <c r="B2" s="17" t="s">
        <v>1</v>
      </c>
      <c r="C2" s="17" t="s">
        <v>10</v>
      </c>
      <c r="D2" s="17" t="s">
        <v>11</v>
      </c>
      <c r="E2" s="17" t="s">
        <v>12</v>
      </c>
      <c r="F2" s="17" t="s">
        <v>13</v>
      </c>
      <c r="G2" s="17" t="s">
        <v>14</v>
      </c>
    </row>
    <row r="3" spans="2:7" x14ac:dyDescent="0.3">
      <c r="B3" s="37" t="s">
        <v>345</v>
      </c>
      <c r="C3" s="7">
        <v>6.3500000000000001E-2</v>
      </c>
      <c r="D3" s="7">
        <v>375</v>
      </c>
      <c r="E3" s="8" t="s">
        <v>16</v>
      </c>
      <c r="F3" s="9" t="s">
        <v>167</v>
      </c>
      <c r="G3" s="8" t="s">
        <v>17</v>
      </c>
    </row>
    <row r="4" spans="2:7" hidden="1" x14ac:dyDescent="0.3">
      <c r="B4" s="37" t="s">
        <v>190</v>
      </c>
      <c r="C4" s="7">
        <v>6.8000000000000005E-2</v>
      </c>
      <c r="D4" s="7">
        <v>475</v>
      </c>
      <c r="E4" s="8" t="s">
        <v>16</v>
      </c>
      <c r="F4" s="9" t="s">
        <v>167</v>
      </c>
      <c r="G4" s="8" t="s">
        <v>38</v>
      </c>
    </row>
    <row r="5" spans="2:7" x14ac:dyDescent="0.3">
      <c r="B5" s="37" t="s">
        <v>340</v>
      </c>
      <c r="C5" s="7">
        <v>0.3453</v>
      </c>
      <c r="D5" s="7">
        <v>0</v>
      </c>
      <c r="E5" s="8" t="s">
        <v>16</v>
      </c>
      <c r="F5" s="9" t="s">
        <v>167</v>
      </c>
      <c r="G5" s="8"/>
    </row>
    <row r="6" spans="2:7" x14ac:dyDescent="0.3">
      <c r="B6" s="37" t="s">
        <v>343</v>
      </c>
      <c r="C6" s="57">
        <v>6.8000000000000005E-2</v>
      </c>
      <c r="D6" s="7">
        <v>475</v>
      </c>
      <c r="E6" s="8" t="s">
        <v>16</v>
      </c>
      <c r="F6" s="9" t="s">
        <v>167</v>
      </c>
      <c r="G6" s="8"/>
    </row>
    <row r="7" spans="2:7" x14ac:dyDescent="0.3">
      <c r="B7" s="94" t="s">
        <v>344</v>
      </c>
      <c r="C7" s="97">
        <v>1.2064999999999999</v>
      </c>
      <c r="D7" s="7">
        <v>3990</v>
      </c>
      <c r="E7" s="8" t="s">
        <v>16</v>
      </c>
      <c r="F7" s="9" t="s">
        <v>191</v>
      </c>
      <c r="G7" s="8" t="s">
        <v>17</v>
      </c>
    </row>
    <row r="8" spans="2:7" x14ac:dyDescent="0.3">
      <c r="B8" s="94"/>
      <c r="C8" s="98"/>
      <c r="D8" s="7">
        <v>7610</v>
      </c>
      <c r="E8" s="8" t="s">
        <v>16</v>
      </c>
      <c r="F8" s="11" t="s">
        <v>192</v>
      </c>
      <c r="G8" s="8" t="s">
        <v>17</v>
      </c>
    </row>
    <row r="9" spans="2:7" x14ac:dyDescent="0.3">
      <c r="B9" s="94"/>
      <c r="C9" s="99"/>
      <c r="D9" s="7">
        <v>16295</v>
      </c>
      <c r="E9" s="8" t="s">
        <v>16</v>
      </c>
      <c r="F9" s="11" t="s">
        <v>193</v>
      </c>
      <c r="G9" s="8" t="s">
        <v>17</v>
      </c>
    </row>
    <row r="10" spans="2:7" ht="27.6" x14ac:dyDescent="0.3">
      <c r="B10" s="40" t="s">
        <v>341</v>
      </c>
      <c r="C10" s="33">
        <v>0.84</v>
      </c>
      <c r="D10" s="7">
        <v>7610</v>
      </c>
      <c r="E10" s="8" t="s">
        <v>16</v>
      </c>
      <c r="F10" s="9"/>
      <c r="G10" s="8" t="s">
        <v>38</v>
      </c>
    </row>
    <row r="11" spans="2:7" ht="13.5" customHeight="1" x14ac:dyDescent="0.3">
      <c r="B11" s="94" t="s">
        <v>342</v>
      </c>
      <c r="C11" s="97">
        <v>1.01</v>
      </c>
      <c r="D11" s="7">
        <v>7610</v>
      </c>
      <c r="E11" s="8" t="s">
        <v>16</v>
      </c>
      <c r="F11" s="9" t="s">
        <v>194</v>
      </c>
      <c r="G11" s="8" t="s">
        <v>17</v>
      </c>
    </row>
    <row r="12" spans="2:7" x14ac:dyDescent="0.3">
      <c r="B12" s="94"/>
      <c r="C12" s="99"/>
      <c r="D12" s="7">
        <v>16275</v>
      </c>
      <c r="E12" s="8" t="s">
        <v>16</v>
      </c>
      <c r="F12" s="11" t="s">
        <v>195</v>
      </c>
      <c r="G12" s="8" t="s">
        <v>17</v>
      </c>
    </row>
    <row r="13" spans="2:7" x14ac:dyDescent="0.3">
      <c r="B13" s="94"/>
      <c r="C13" s="33">
        <v>1.07</v>
      </c>
      <c r="D13" s="7">
        <v>0</v>
      </c>
      <c r="E13" s="8" t="s">
        <v>16</v>
      </c>
      <c r="F13" s="11" t="s">
        <v>196</v>
      </c>
      <c r="G13" s="8" t="s">
        <v>17</v>
      </c>
    </row>
    <row r="14" spans="2:7" ht="13.5" customHeight="1" x14ac:dyDescent="0.3">
      <c r="B14" s="94" t="s">
        <v>346</v>
      </c>
      <c r="C14" s="97">
        <v>1.28</v>
      </c>
      <c r="D14" s="7">
        <v>5065</v>
      </c>
      <c r="E14" s="8" t="s">
        <v>16</v>
      </c>
      <c r="F14" s="9" t="s">
        <v>197</v>
      </c>
      <c r="G14" s="8" t="s">
        <v>17</v>
      </c>
    </row>
    <row r="15" spans="2:7" x14ac:dyDescent="0.3">
      <c r="B15" s="94"/>
      <c r="C15" s="98"/>
      <c r="D15" s="7">
        <v>9660</v>
      </c>
      <c r="E15" s="8" t="s">
        <v>16</v>
      </c>
      <c r="F15" s="11" t="s">
        <v>198</v>
      </c>
      <c r="G15" s="8" t="s">
        <v>17</v>
      </c>
    </row>
    <row r="16" spans="2:7" x14ac:dyDescent="0.3">
      <c r="B16" s="94"/>
      <c r="C16" s="99"/>
      <c r="D16" s="7">
        <v>20680</v>
      </c>
      <c r="E16" s="8" t="s">
        <v>16</v>
      </c>
      <c r="F16" s="11" t="s">
        <v>193</v>
      </c>
      <c r="G16" s="8" t="s">
        <v>17</v>
      </c>
    </row>
    <row r="17" spans="2:7" ht="27.6" x14ac:dyDescent="0.3">
      <c r="B17" s="58" t="s">
        <v>347</v>
      </c>
      <c r="C17" s="53">
        <v>0.59550000000000003</v>
      </c>
      <c r="D17" s="7">
        <v>0</v>
      </c>
      <c r="E17" s="8" t="s">
        <v>16</v>
      </c>
      <c r="F17" s="11"/>
      <c r="G17" s="8"/>
    </row>
    <row r="18" spans="2:7" x14ac:dyDescent="0.3">
      <c r="B18" s="100" t="s">
        <v>199</v>
      </c>
      <c r="C18" s="18">
        <f>0.045/8</f>
        <v>5.6249999999999998E-3</v>
      </c>
      <c r="D18" s="18">
        <v>0</v>
      </c>
      <c r="E18" s="8" t="s">
        <v>16</v>
      </c>
      <c r="F18" s="9" t="s">
        <v>194</v>
      </c>
      <c r="G18" s="8" t="s">
        <v>17</v>
      </c>
    </row>
    <row r="19" spans="2:7" x14ac:dyDescent="0.3">
      <c r="B19" s="101"/>
      <c r="C19" s="18">
        <f>0.068/8</f>
        <v>8.5000000000000006E-3</v>
      </c>
      <c r="D19" s="18">
        <v>0</v>
      </c>
      <c r="E19" s="8" t="s">
        <v>16</v>
      </c>
      <c r="F19" s="9" t="s">
        <v>200</v>
      </c>
      <c r="G19" s="8"/>
    </row>
    <row r="20" spans="2:7" x14ac:dyDescent="0.3">
      <c r="B20" s="102"/>
      <c r="C20" s="18">
        <f>0.084/8</f>
        <v>1.0500000000000001E-2</v>
      </c>
      <c r="D20" s="18">
        <v>0</v>
      </c>
      <c r="E20" s="8" t="s">
        <v>16</v>
      </c>
      <c r="F20" s="9" t="s">
        <v>201</v>
      </c>
      <c r="G20" s="8"/>
    </row>
    <row r="21" spans="2:7" x14ac:dyDescent="0.3">
      <c r="B21" s="37" t="s">
        <v>189</v>
      </c>
      <c r="C21" s="18">
        <f>0.068/8</f>
        <v>8.5000000000000006E-3</v>
      </c>
      <c r="D21" s="18">
        <v>495</v>
      </c>
      <c r="E21" s="8" t="s">
        <v>16</v>
      </c>
      <c r="F21" s="9"/>
      <c r="G21" s="8" t="s">
        <v>17</v>
      </c>
    </row>
    <row r="22" spans="2:7" x14ac:dyDescent="0.3">
      <c r="B22" s="37" t="s">
        <v>4</v>
      </c>
      <c r="C22" s="18">
        <v>0.1736</v>
      </c>
      <c r="D22" s="18">
        <v>200</v>
      </c>
      <c r="E22" s="8" t="s">
        <v>182</v>
      </c>
      <c r="F22" s="9" t="s">
        <v>183</v>
      </c>
      <c r="G22" s="8"/>
    </row>
    <row r="23" spans="2:7" x14ac:dyDescent="0.3">
      <c r="B23" s="87" t="s">
        <v>51</v>
      </c>
      <c r="C23" s="13">
        <v>100</v>
      </c>
      <c r="D23" s="13">
        <v>0</v>
      </c>
      <c r="E23" s="14" t="s">
        <v>16</v>
      </c>
      <c r="F23" s="15" t="s">
        <v>92</v>
      </c>
      <c r="G23" s="8"/>
    </row>
    <row r="24" spans="2:7" x14ac:dyDescent="0.3">
      <c r="B24" s="88"/>
      <c r="C24" s="13">
        <v>150</v>
      </c>
      <c r="D24" s="13">
        <v>0</v>
      </c>
      <c r="E24" s="14" t="s">
        <v>16</v>
      </c>
      <c r="F24" s="15" t="s">
        <v>93</v>
      </c>
      <c r="G24" s="8"/>
    </row>
    <row r="25" spans="2:7" x14ac:dyDescent="0.3">
      <c r="B25" s="88"/>
      <c r="C25" s="13">
        <v>200</v>
      </c>
      <c r="D25" s="13">
        <v>0</v>
      </c>
      <c r="E25" s="14" t="s">
        <v>16</v>
      </c>
      <c r="F25" s="15" t="s">
        <v>94</v>
      </c>
      <c r="G25" s="8"/>
    </row>
    <row r="26" spans="2:7" x14ac:dyDescent="0.3">
      <c r="B26" s="85" t="s">
        <v>25</v>
      </c>
      <c r="C26" s="18"/>
      <c r="D26" s="18"/>
      <c r="E26" s="8"/>
      <c r="F26" s="11"/>
      <c r="G26" s="8" t="s">
        <v>17</v>
      </c>
    </row>
    <row r="27" spans="2:7" x14ac:dyDescent="0.3">
      <c r="B27" s="86"/>
      <c r="C27" s="18"/>
      <c r="D27" s="18"/>
      <c r="E27" s="8"/>
      <c r="F27" s="11"/>
      <c r="G27" s="8" t="s">
        <v>17</v>
      </c>
    </row>
    <row r="28" spans="2:7" x14ac:dyDescent="0.3">
      <c r="B28" s="39" t="s">
        <v>27</v>
      </c>
      <c r="C28" s="18"/>
      <c r="D28" s="18"/>
      <c r="E28" s="8"/>
      <c r="F28" s="11"/>
      <c r="G28" s="8" t="s">
        <v>17</v>
      </c>
    </row>
    <row r="29" spans="2:7" x14ac:dyDescent="0.3">
      <c r="B29" s="39" t="s">
        <v>29</v>
      </c>
      <c r="C29" s="18"/>
      <c r="D29" s="18"/>
      <c r="E29" s="8"/>
      <c r="F29" s="11"/>
      <c r="G29" s="8" t="s">
        <v>17</v>
      </c>
    </row>
    <row r="30" spans="2:7" x14ac:dyDescent="0.3">
      <c r="B30" s="19" t="s">
        <v>31</v>
      </c>
      <c r="C30" s="18"/>
      <c r="D30" s="18"/>
      <c r="E30" s="8"/>
      <c r="F30" s="9"/>
      <c r="G30" s="8" t="s">
        <v>17</v>
      </c>
    </row>
    <row r="31" spans="2:7" x14ac:dyDescent="0.3">
      <c r="B31" s="19" t="s">
        <v>33</v>
      </c>
      <c r="C31" s="18"/>
      <c r="D31" s="18"/>
      <c r="E31" s="8"/>
      <c r="F31" s="9"/>
      <c r="G31" s="8" t="s">
        <v>17</v>
      </c>
    </row>
    <row r="32" spans="2:7" x14ac:dyDescent="0.3">
      <c r="B32" s="19" t="s">
        <v>35</v>
      </c>
      <c r="C32" s="18"/>
      <c r="D32" s="18"/>
      <c r="E32" s="8"/>
      <c r="F32" s="11"/>
      <c r="G32" s="8" t="s">
        <v>17</v>
      </c>
    </row>
    <row r="33" spans="2:7" x14ac:dyDescent="0.3">
      <c r="B33" s="19" t="s">
        <v>39</v>
      </c>
      <c r="C33" s="18"/>
      <c r="D33" s="18"/>
      <c r="E33" s="8"/>
      <c r="F33" s="9"/>
      <c r="G33" s="8" t="s">
        <v>17</v>
      </c>
    </row>
    <row r="34" spans="2:7" x14ac:dyDescent="0.3">
      <c r="B34" s="19" t="s">
        <v>40</v>
      </c>
      <c r="C34" s="18"/>
      <c r="D34" s="18"/>
      <c r="E34" s="8"/>
      <c r="F34" s="38"/>
      <c r="G34" s="8" t="s">
        <v>17</v>
      </c>
    </row>
    <row r="35" spans="2:7" x14ac:dyDescent="0.3">
      <c r="B35" s="19" t="s">
        <v>43</v>
      </c>
      <c r="C35" s="18"/>
      <c r="D35" s="18"/>
      <c r="E35" s="8"/>
      <c r="F35" s="9"/>
      <c r="G35" s="8" t="s">
        <v>17</v>
      </c>
    </row>
    <row r="36" spans="2:7" x14ac:dyDescent="0.3">
      <c r="B36" s="19" t="s">
        <v>45</v>
      </c>
      <c r="C36" s="18"/>
      <c r="D36" s="18"/>
      <c r="E36" s="8"/>
      <c r="F36" s="9"/>
      <c r="G36" s="8" t="s">
        <v>17</v>
      </c>
    </row>
    <row r="37" spans="2:7" x14ac:dyDescent="0.3">
      <c r="B37" s="19" t="s">
        <v>47</v>
      </c>
      <c r="C37" s="18"/>
      <c r="D37" s="18"/>
      <c r="E37" s="8"/>
      <c r="F37" s="9"/>
      <c r="G37" s="8" t="s">
        <v>17</v>
      </c>
    </row>
    <row r="38" spans="2:7" x14ac:dyDescent="0.3">
      <c r="B38" s="19" t="s">
        <v>48</v>
      </c>
      <c r="C38" s="18"/>
      <c r="D38" s="18"/>
      <c r="E38" s="8"/>
      <c r="F38" s="9"/>
      <c r="G38" s="8" t="s">
        <v>38</v>
      </c>
    </row>
  </sheetData>
  <mergeCells count="9">
    <mergeCell ref="B23:B25"/>
    <mergeCell ref="B26:B27"/>
    <mergeCell ref="C7:C9"/>
    <mergeCell ref="C11:C12"/>
    <mergeCell ref="B14:B16"/>
    <mergeCell ref="C14:C16"/>
    <mergeCell ref="B18:B20"/>
    <mergeCell ref="B7:B9"/>
    <mergeCell ref="B11:B13"/>
  </mergeCells>
  <conditionalFormatting sqref="G22 G26:G38 G3:G13 G18:G20">
    <cfRule type="containsText" dxfId="29" priority="10" operator="containsText" text="Verified">
      <formula>NOT(ISERROR(SEARCH("Verified",G3)))</formula>
    </cfRule>
    <cfRule type="containsText" dxfId="28" priority="11" operator="containsText" text="Verified">
      <formula>NOT(ISERROR(SEARCH("Verified",G3)))</formula>
    </cfRule>
    <cfRule type="containsText" dxfId="27" priority="12" operator="containsText" text="Verified">
      <formula>NOT(ISERROR(SEARCH("Verified",G3)))</formula>
    </cfRule>
  </conditionalFormatting>
  <conditionalFormatting sqref="G21">
    <cfRule type="containsText" dxfId="26" priority="7" operator="containsText" text="Verified">
      <formula>NOT(ISERROR(SEARCH("Verified",G21)))</formula>
    </cfRule>
    <cfRule type="containsText" dxfId="25" priority="8" operator="containsText" text="Verified">
      <formula>NOT(ISERROR(SEARCH("Verified",G21)))</formula>
    </cfRule>
    <cfRule type="containsText" dxfId="24" priority="9" operator="containsText" text="Verified">
      <formula>NOT(ISERROR(SEARCH("Verified",G21)))</formula>
    </cfRule>
  </conditionalFormatting>
  <conditionalFormatting sqref="G23:G25">
    <cfRule type="containsText" dxfId="23" priority="4" operator="containsText" text="Verified">
      <formula>NOT(ISERROR(SEARCH("Verified",G23)))</formula>
    </cfRule>
    <cfRule type="containsText" dxfId="22" priority="5" operator="containsText" text="Verified">
      <formula>NOT(ISERROR(SEARCH("Verified",G23)))</formula>
    </cfRule>
    <cfRule type="containsText" dxfId="21" priority="6" operator="containsText" text="Verified">
      <formula>NOT(ISERROR(SEARCH("Verified",G23)))</formula>
    </cfRule>
  </conditionalFormatting>
  <conditionalFormatting sqref="G14:G17">
    <cfRule type="containsText" dxfId="20" priority="1" operator="containsText" text="Verified">
      <formula>NOT(ISERROR(SEARCH("Verified",G14)))</formula>
    </cfRule>
    <cfRule type="containsText" dxfId="19" priority="2" operator="containsText" text="Verified">
      <formula>NOT(ISERROR(SEARCH("Verified",G14)))</formula>
    </cfRule>
    <cfRule type="containsText" dxfId="18" priority="3" operator="containsText" text="Verified">
      <formula>NOT(ISERROR(SEARCH("Verified",G14)))</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6F61-A506-45BA-A9AB-8CF7FBAFB062}">
  <sheetPr>
    <tabColor rgb="FFFFFF00"/>
  </sheetPr>
  <dimension ref="B1:G28"/>
  <sheetViews>
    <sheetView showGridLines="0" zoomScaleNormal="100" workbookViewId="0">
      <pane ySplit="1" topLeftCell="A2" activePane="bottomLeft" state="frozen"/>
      <selection activeCell="C10" sqref="C10:C12"/>
      <selection pane="bottomLeft" activeCell="D16" sqref="D16"/>
    </sheetView>
  </sheetViews>
  <sheetFormatPr defaultColWidth="9.109375" defaultRowHeight="13.8" x14ac:dyDescent="0.3"/>
  <cols>
    <col min="1" max="1" width="9.109375" style="4"/>
    <col min="2" max="2" width="40.5546875" style="4" bestFit="1" customWidth="1"/>
    <col min="3" max="3" width="14.6640625" style="4" bestFit="1" customWidth="1"/>
    <col min="4" max="4" width="10.5546875" style="4" bestFit="1" customWidth="1"/>
    <col min="5" max="5" width="6.5546875" style="4" bestFit="1" customWidth="1"/>
    <col min="6" max="6" width="40.109375" style="4" bestFit="1" customWidth="1"/>
    <col min="7" max="7" width="8.33203125" style="4" bestFit="1" customWidth="1"/>
    <col min="8" max="16384" width="9.109375" style="4"/>
  </cols>
  <sheetData>
    <row r="1" spans="2:7" x14ac:dyDescent="0.3">
      <c r="B1" s="3" t="s">
        <v>118</v>
      </c>
    </row>
    <row r="2" spans="2:7" x14ac:dyDescent="0.3">
      <c r="B2" s="17" t="s">
        <v>1</v>
      </c>
      <c r="C2" s="17" t="s">
        <v>10</v>
      </c>
      <c r="D2" s="17" t="s">
        <v>11</v>
      </c>
      <c r="E2" s="17" t="s">
        <v>12</v>
      </c>
      <c r="F2" s="17" t="s">
        <v>13</v>
      </c>
      <c r="G2" s="17" t="s">
        <v>14</v>
      </c>
    </row>
    <row r="3" spans="2:7" x14ac:dyDescent="0.3">
      <c r="B3" s="100" t="s">
        <v>204</v>
      </c>
      <c r="C3" s="7">
        <v>0.13700000000000001</v>
      </c>
      <c r="D3" s="7">
        <v>700</v>
      </c>
      <c r="E3" s="8" t="s">
        <v>16</v>
      </c>
      <c r="F3" s="9" t="s">
        <v>202</v>
      </c>
      <c r="G3" s="8" t="s">
        <v>17</v>
      </c>
    </row>
    <row r="4" spans="2:7" x14ac:dyDescent="0.3">
      <c r="B4" s="102"/>
      <c r="C4" s="7">
        <v>0.154</v>
      </c>
      <c r="D4" s="7">
        <v>700</v>
      </c>
      <c r="E4" s="8" t="s">
        <v>16</v>
      </c>
      <c r="F4" s="9" t="s">
        <v>203</v>
      </c>
      <c r="G4" s="8"/>
    </row>
    <row r="5" spans="2:7" x14ac:dyDescent="0.3">
      <c r="B5" s="43" t="s">
        <v>205</v>
      </c>
      <c r="C5" s="33">
        <v>1.2330000000000001</v>
      </c>
      <c r="D5" s="7">
        <v>3500</v>
      </c>
      <c r="E5" s="8" t="s">
        <v>16</v>
      </c>
      <c r="F5" s="9" t="s">
        <v>207</v>
      </c>
      <c r="G5" s="8" t="s">
        <v>17</v>
      </c>
    </row>
    <row r="6" spans="2:7" x14ac:dyDescent="0.3">
      <c r="B6" s="43" t="s">
        <v>206</v>
      </c>
      <c r="C6" s="33">
        <v>1.3859999999999999</v>
      </c>
      <c r="D6" s="7">
        <v>7278</v>
      </c>
      <c r="E6" s="8" t="s">
        <v>16</v>
      </c>
      <c r="F6" s="11" t="s">
        <v>208</v>
      </c>
      <c r="G6" s="8" t="s">
        <v>17</v>
      </c>
    </row>
    <row r="7" spans="2:7" x14ac:dyDescent="0.3">
      <c r="B7" s="43"/>
      <c r="C7" s="33"/>
      <c r="D7" s="7">
        <v>13125</v>
      </c>
      <c r="E7" s="8" t="s">
        <v>16</v>
      </c>
      <c r="F7" s="11" t="s">
        <v>209</v>
      </c>
      <c r="G7" s="8" t="s">
        <v>17</v>
      </c>
    </row>
    <row r="8" spans="2:7" x14ac:dyDescent="0.3">
      <c r="B8" s="40"/>
      <c r="C8" s="33"/>
      <c r="D8" s="7">
        <v>15750</v>
      </c>
      <c r="E8" s="8" t="s">
        <v>16</v>
      </c>
      <c r="F8" s="9" t="s">
        <v>210</v>
      </c>
      <c r="G8" s="8" t="s">
        <v>38</v>
      </c>
    </row>
    <row r="9" spans="2:7" x14ac:dyDescent="0.3">
      <c r="B9" s="37" t="s">
        <v>211</v>
      </c>
      <c r="C9" s="18">
        <v>1.2E-2</v>
      </c>
      <c r="D9" s="18">
        <v>900</v>
      </c>
      <c r="E9" s="8" t="s">
        <v>16</v>
      </c>
      <c r="F9" s="9"/>
      <c r="G9" s="8" t="s">
        <v>17</v>
      </c>
    </row>
    <row r="10" spans="2:7" x14ac:dyDescent="0.3">
      <c r="B10" s="37" t="s">
        <v>212</v>
      </c>
      <c r="C10" s="18">
        <v>1.2999999999999999E-2</v>
      </c>
      <c r="D10" s="18">
        <v>900</v>
      </c>
      <c r="E10" s="8"/>
      <c r="F10" s="9"/>
      <c r="G10" s="8"/>
    </row>
    <row r="11" spans="2:7" x14ac:dyDescent="0.3">
      <c r="B11" s="37" t="s">
        <v>4</v>
      </c>
      <c r="C11" s="18">
        <v>0.03</v>
      </c>
      <c r="D11" s="18">
        <v>200</v>
      </c>
      <c r="E11" s="8" t="s">
        <v>182</v>
      </c>
      <c r="F11" s="9"/>
      <c r="G11" s="8"/>
    </row>
    <row r="12" spans="2:7" x14ac:dyDescent="0.3">
      <c r="B12" s="87" t="s">
        <v>51</v>
      </c>
      <c r="C12" s="13">
        <v>100</v>
      </c>
      <c r="D12" s="13">
        <v>0</v>
      </c>
      <c r="E12" s="14" t="s">
        <v>16</v>
      </c>
      <c r="F12" s="15" t="s">
        <v>92</v>
      </c>
      <c r="G12" s="8"/>
    </row>
    <row r="13" spans="2:7" x14ac:dyDescent="0.3">
      <c r="B13" s="88"/>
      <c r="C13" s="13">
        <v>150</v>
      </c>
      <c r="D13" s="13">
        <v>0</v>
      </c>
      <c r="E13" s="14" t="s">
        <v>16</v>
      </c>
      <c r="F13" s="15" t="s">
        <v>93</v>
      </c>
      <c r="G13" s="8"/>
    </row>
    <row r="14" spans="2:7" x14ac:dyDescent="0.3">
      <c r="B14" s="88"/>
      <c r="C14" s="13">
        <v>200</v>
      </c>
      <c r="D14" s="13">
        <v>0</v>
      </c>
      <c r="E14" s="14" t="s">
        <v>16</v>
      </c>
      <c r="F14" s="15" t="s">
        <v>94</v>
      </c>
      <c r="G14" s="8"/>
    </row>
    <row r="15" spans="2:7" x14ac:dyDescent="0.3">
      <c r="B15" s="67" t="s">
        <v>357</v>
      </c>
      <c r="C15" s="13">
        <v>5</v>
      </c>
      <c r="D15" s="13">
        <v>0</v>
      </c>
      <c r="E15" s="14" t="s">
        <v>41</v>
      </c>
      <c r="F15" s="15"/>
      <c r="G15" s="8"/>
    </row>
    <row r="16" spans="2:7" x14ac:dyDescent="0.3">
      <c r="B16" s="85" t="s">
        <v>25</v>
      </c>
      <c r="C16" s="18">
        <v>1E-3</v>
      </c>
      <c r="D16" s="18"/>
      <c r="E16" s="8"/>
      <c r="F16" s="11"/>
      <c r="G16" s="8" t="s">
        <v>17</v>
      </c>
    </row>
    <row r="17" spans="2:7" x14ac:dyDescent="0.3">
      <c r="B17" s="86"/>
      <c r="C17" s="18"/>
      <c r="D17" s="18"/>
      <c r="E17" s="8"/>
      <c r="F17" s="11"/>
      <c r="G17" s="8" t="s">
        <v>17</v>
      </c>
    </row>
    <row r="18" spans="2:7" x14ac:dyDescent="0.3">
      <c r="B18" s="39" t="s">
        <v>27</v>
      </c>
      <c r="C18" s="18"/>
      <c r="D18" s="18"/>
      <c r="E18" s="8"/>
      <c r="F18" s="11"/>
      <c r="G18" s="8" t="s">
        <v>17</v>
      </c>
    </row>
    <row r="19" spans="2:7" x14ac:dyDescent="0.3">
      <c r="B19" s="39" t="s">
        <v>29</v>
      </c>
      <c r="C19" s="18"/>
      <c r="D19" s="18"/>
      <c r="E19" s="8"/>
      <c r="F19" s="11"/>
      <c r="G19" s="8" t="s">
        <v>17</v>
      </c>
    </row>
    <row r="20" spans="2:7" x14ac:dyDescent="0.3">
      <c r="B20" s="19" t="s">
        <v>31</v>
      </c>
      <c r="C20" s="18"/>
      <c r="D20" s="18"/>
      <c r="E20" s="8"/>
      <c r="F20" s="9"/>
      <c r="G20" s="8" t="s">
        <v>17</v>
      </c>
    </row>
    <row r="21" spans="2:7" x14ac:dyDescent="0.3">
      <c r="B21" s="19" t="s">
        <v>33</v>
      </c>
      <c r="C21" s="18"/>
      <c r="D21" s="18"/>
      <c r="E21" s="8"/>
      <c r="F21" s="9"/>
      <c r="G21" s="8" t="s">
        <v>17</v>
      </c>
    </row>
    <row r="22" spans="2:7" x14ac:dyDescent="0.3">
      <c r="B22" s="19" t="s">
        <v>35</v>
      </c>
      <c r="C22" s="18"/>
      <c r="D22" s="18"/>
      <c r="E22" s="8"/>
      <c r="F22" s="11"/>
      <c r="G22" s="8" t="s">
        <v>17</v>
      </c>
    </row>
    <row r="23" spans="2:7" x14ac:dyDescent="0.3">
      <c r="B23" s="19" t="s">
        <v>39</v>
      </c>
      <c r="C23" s="18"/>
      <c r="D23" s="18"/>
      <c r="E23" s="8"/>
      <c r="F23" s="9"/>
      <c r="G23" s="8" t="s">
        <v>17</v>
      </c>
    </row>
    <row r="24" spans="2:7" x14ac:dyDescent="0.3">
      <c r="B24" s="19" t="s">
        <v>40</v>
      </c>
      <c r="C24" s="18"/>
      <c r="D24" s="18"/>
      <c r="E24" s="8"/>
      <c r="F24" s="38"/>
      <c r="G24" s="8" t="s">
        <v>17</v>
      </c>
    </row>
    <row r="25" spans="2:7" x14ac:dyDescent="0.3">
      <c r="B25" s="19" t="s">
        <v>43</v>
      </c>
      <c r="C25" s="18"/>
      <c r="D25" s="18"/>
      <c r="E25" s="8"/>
      <c r="F25" s="9"/>
      <c r="G25" s="8" t="s">
        <v>17</v>
      </c>
    </row>
    <row r="26" spans="2:7" x14ac:dyDescent="0.3">
      <c r="B26" s="19" t="s">
        <v>45</v>
      </c>
      <c r="C26" s="18"/>
      <c r="D26" s="18"/>
      <c r="E26" s="8"/>
      <c r="F26" s="9"/>
      <c r="G26" s="8" t="s">
        <v>17</v>
      </c>
    </row>
    <row r="27" spans="2:7" x14ac:dyDescent="0.3">
      <c r="B27" s="19" t="s">
        <v>47</v>
      </c>
      <c r="C27" s="18"/>
      <c r="D27" s="18"/>
      <c r="E27" s="8"/>
      <c r="F27" s="9"/>
      <c r="G27" s="8" t="s">
        <v>17</v>
      </c>
    </row>
    <row r="28" spans="2:7" x14ac:dyDescent="0.3">
      <c r="B28" s="19" t="s">
        <v>48</v>
      </c>
      <c r="C28" s="18"/>
      <c r="D28" s="18"/>
      <c r="E28" s="8"/>
      <c r="F28" s="9"/>
      <c r="G28" s="8" t="s">
        <v>38</v>
      </c>
    </row>
  </sheetData>
  <mergeCells count="3">
    <mergeCell ref="B16:B17"/>
    <mergeCell ref="B3:B4"/>
    <mergeCell ref="B12:B14"/>
  </mergeCells>
  <conditionalFormatting sqref="G11 G16:G28 G3:G8">
    <cfRule type="containsText" dxfId="17" priority="13" operator="containsText" text="Verified">
      <formula>NOT(ISERROR(SEARCH("Verified",G3)))</formula>
    </cfRule>
    <cfRule type="containsText" dxfId="16" priority="14" operator="containsText" text="Verified">
      <formula>NOT(ISERROR(SEARCH("Verified",G3)))</formula>
    </cfRule>
    <cfRule type="containsText" dxfId="15" priority="15" operator="containsText" text="Verified">
      <formula>NOT(ISERROR(SEARCH("Verified",G3)))</formula>
    </cfRule>
  </conditionalFormatting>
  <conditionalFormatting sqref="G9:G10">
    <cfRule type="containsText" dxfId="14" priority="10" operator="containsText" text="Verified">
      <formula>NOT(ISERROR(SEARCH("Verified",G9)))</formula>
    </cfRule>
    <cfRule type="containsText" dxfId="13" priority="11" operator="containsText" text="Verified">
      <formula>NOT(ISERROR(SEARCH("Verified",G9)))</formula>
    </cfRule>
    <cfRule type="containsText" dxfId="12" priority="12" operator="containsText" text="Verified">
      <formula>NOT(ISERROR(SEARCH("Verified",G9)))</formula>
    </cfRule>
  </conditionalFormatting>
  <conditionalFormatting sqref="G12:G15">
    <cfRule type="containsText" dxfId="11" priority="1" operator="containsText" text="Verified">
      <formula>NOT(ISERROR(SEARCH("Verified",G12)))</formula>
    </cfRule>
    <cfRule type="containsText" dxfId="10" priority="2" operator="containsText" text="Verified">
      <formula>NOT(ISERROR(SEARCH("Verified",G12)))</formula>
    </cfRule>
    <cfRule type="containsText" dxfId="9" priority="3" operator="containsText" text="Verified">
      <formula>NOT(ISERROR(SEARCH("Verified",G12)))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TERMINALS</vt:lpstr>
      <vt:lpstr>Dahej</vt:lpstr>
      <vt:lpstr>Mundra</vt:lpstr>
      <vt:lpstr>Dhamra</vt:lpstr>
      <vt:lpstr>Kattupalli</vt:lpstr>
      <vt:lpstr>Hazira</vt:lpstr>
      <vt:lpstr>KPCL</vt:lpstr>
      <vt:lpstr>Dighi</vt:lpstr>
      <vt:lpstr>GPL</vt:lpstr>
      <vt:lpstr>ControlPanel</vt:lpstr>
      <vt:lpstr>Tariff Master</vt:lpstr>
      <vt:lpstr>AllPorts</vt:lpstr>
      <vt:lpstr>newCalc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Sanjeev Tandon</dc:creator>
  <cp:lastModifiedBy>Sanjeev Tandon</cp:lastModifiedBy>
  <dcterms:created xsi:type="dcterms:W3CDTF">2015-06-05T18:17:20Z</dcterms:created>
  <dcterms:modified xsi:type="dcterms:W3CDTF">2022-01-10T08:42:16Z</dcterms:modified>
</cp:coreProperties>
</file>